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hWt4jKwwYzsXIwb1QprJUwpUdoyDPxmAfkKxsn71WJLsYX/nKQE2d1SHOHSpvZ06J4bWzUBklAU62XUnqyjAA==" workbookSaltValue="Tgo1fEG19vHw2o0wSvSV5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L20" i="20"/>
  <c r="E20" i="20"/>
  <c r="AC20" i="20"/>
  <c r="C10" i="14" l="1"/>
  <c r="K10" i="14" s="1"/>
  <c r="H17" i="2"/>
  <c r="BH11" i="16"/>
  <c r="BF17" i="11"/>
  <c r="BK15" i="11"/>
  <c r="BG9" i="11"/>
  <c r="BV16" i="16"/>
  <c r="Q15" i="17"/>
  <c r="V9" i="11"/>
  <c r="AP17" i="20"/>
  <c r="BU9" i="17"/>
  <c r="BF12" i="11"/>
  <c r="BH12" i="16"/>
  <c r="BH17" i="16"/>
  <c r="BD11" i="13"/>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R20" i="20"/>
  <c r="AP20" i="20"/>
  <c r="AG20" i="20"/>
  <c r="U10" i="11"/>
  <c r="AZ20" i="20"/>
  <c r="AU20" i="20"/>
  <c r="Z20" i="20"/>
  <c r="AM20" i="20"/>
  <c r="T20" i="20"/>
  <c r="U16" i="11"/>
  <c r="AI20" i="20"/>
  <c r="AX20" i="20"/>
  <c r="N20" i="20"/>
  <c r="U12" i="11"/>
  <c r="G18" i="14"/>
  <c r="W20" i="21"/>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<sst xmlns="http://schemas.openxmlformats.org/spreadsheetml/2006/main" count="2094" uniqueCount="912">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</sst>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X4td7EFi71K0ABPqeU7QJcuUA4pGyaI/DbbA6SHQHY44+JIsW3Krz99tS5l4YnjRLbQxL30EJnGF55OsSRadQ==" saltValue="jPOJxttVQF66C7bBbAcs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20.031578947368423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173</v>
      </c>
      <c r="D16" s="229">
        <f>IF(ISNUMBER(IF(D_I="SI",Datos!I16,Datos!I16+Datos!AC16)),IF(D_I="SI",Datos!I16,Datos!I16+Datos!AC16)," - ")</f>
        <v>173</v>
      </c>
      <c r="E16" s="230">
        <f>IF(ISNUMBER(IF(D_I="SI",Datos!J16,Datos!J16+Datos!AD16)),IF(D_I="SI",Datos!J16,Datos!J16+Datos!AD16)," - ")</f>
        <v>141</v>
      </c>
      <c r="F16" s="230">
        <f>IF(ISNUMBER(IF(D_I="SI",Datos!K16,Datos!K16+Datos!AE16)),IF(D_I="SI",Datos!K16,Datos!K16+Datos!AE16)," - ")</f>
        <v>146</v>
      </c>
      <c r="G16" s="1189" t="str">
        <f>IF(Datos!E16&lt;&gt;"",Datos!E16,Datos!D16)</f>
        <v>04</v>
      </c>
      <c r="H16" s="231">
        <f>IF(ISNUMBER(IF(D_I="SI",Datos!L16,Datos!L16+Datos!AF16)),IF(D_I="SI",Datos!L16,Datos!L16+Datos!AF16)," - ")</f>
        <v>168</v>
      </c>
      <c r="I16" s="1199" t="str">
        <f>IF(ISNUMBER(Datos!AS16/Datos!BM16),Datos!AS16/Datos!BM16," - ")</f>
        <v xml:space="preserve"> - </v>
      </c>
      <c r="J16" s="1200">
        <f>IF(ISNUMBER(Datos!BY16/Datos!CN16),Datos!BY16/Datos!CN16," - ")</f>
        <v>0</v>
      </c>
      <c r="K16" s="234">
        <f t="shared" si="3"/>
        <v>-2.8901734104046242E-2</v>
      </c>
      <c r="L16" s="1201">
        <f>IF(ISNUMBER(NºAsuntos!I16/NºAsuntos!G16),(NºAsuntos!I16/NºAsuntos!G16)*11," - ")</f>
        <v>12.657534246575342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v>
      </c>
      <c r="D17" s="229">
        <f>IF(ISNUMBER(IF(D_I="SI",Datos!I17,Datos!I17+Datos!AC17)),IF(D_I="SI",Datos!I17,Datos!I17+Datos!AC17)," - ")</f>
        <v>4</v>
      </c>
      <c r="E17" s="230">
        <f>IF(ISNUMBER(IF(D_I="SI",Datos!J17,Datos!J17+Datos!AD17)),IF(D_I="SI",Datos!J17,Datos!J17+Datos!AD17)," - ")</f>
        <v>0</v>
      </c>
      <c r="F17" s="230">
        <f>IF(ISNUMBER(IF(D_I="SI",Datos!K17,Datos!K17+Datos!AE17)),IF(D_I="SI",Datos!K17,Datos!K17+Datos!AE17)," - ")</f>
        <v>3</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-0.75</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177</v>
      </c>
      <c r="D18" s="1206">
        <f>SUBTOTAL(9,D15:D17)</f>
        <v>177</v>
      </c>
      <c r="E18" s="1207">
        <f>SUBTOTAL(9,E15:E17)</f>
        <v>141</v>
      </c>
      <c r="F18" s="1207">
        <f>SUBTOTAL(9,F15:F17)</f>
        <v>149</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178</v>
      </c>
      <c r="D19" s="1228">
        <f>SUBTOTAL(9,D9:D18)</f>
        <v>178</v>
      </c>
      <c r="E19" s="1229">
        <f>SUBTOTAL(9,E9:E18)</f>
        <v>141</v>
      </c>
      <c r="F19" s="1229">
        <f>SUBTOTAL(9,F9:F18)</f>
        <v>150</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f/roY2Q69VhtLPpxwwBbaVqHO2z9d6WnyZSM3nBCIR0J02AIcGkFQ9g+18XsboK4QV8iUo4+2zQLG/LMeGIAw==" saltValue="IQgBzp8kK3lrtdl1TU535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Te61z43Q/phYoZNrB1MoyTBoc2KwfP+YGZFX5WH45CZtrisYcPu6e4FhU+jzkgdiFOhXuILAShzT+7UMQ4erQ==" saltValue="PfMFzabm6uLyy5bSZ00v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1</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138</v>
      </c>
      <c r="J12" s="187">
        <v>104</v>
      </c>
      <c r="K12" s="187">
        <v>80</v>
      </c>
      <c r="L12" s="187">
        <v>162</v>
      </c>
      <c r="M12" s="187">
        <v>21</v>
      </c>
      <c r="N12" s="187">
        <v>36</v>
      </c>
      <c r="O12" s="185">
        <v>55</v>
      </c>
      <c r="P12" s="187">
        <v>28</v>
      </c>
      <c r="Q12" s="187">
        <v>45</v>
      </c>
      <c r="R12" s="187">
        <v>425</v>
      </c>
      <c r="S12" s="187">
        <v>111</v>
      </c>
      <c r="T12" s="187">
        <v>111</v>
      </c>
      <c r="U12" s="187">
        <v>96</v>
      </c>
      <c r="V12" s="187">
        <v>126</v>
      </c>
      <c r="W12" s="187">
        <v>32</v>
      </c>
      <c r="X12" s="193">
        <v>37</v>
      </c>
      <c r="Y12" s="195">
        <v>10</v>
      </c>
      <c r="Z12" s="185">
        <v>16</v>
      </c>
      <c r="AA12" s="185">
        <v>15</v>
      </c>
      <c r="AB12" s="185">
        <v>11</v>
      </c>
      <c r="AC12" s="187">
        <v>0</v>
      </c>
      <c r="AD12" s="187">
        <v>0</v>
      </c>
      <c r="AE12" s="187">
        <v>0</v>
      </c>
      <c r="AF12" s="193">
        <v>0</v>
      </c>
      <c r="AG12" s="206">
        <v>0</v>
      </c>
      <c r="AH12" s="187">
        <v>18</v>
      </c>
      <c r="AI12" s="187">
        <v>11</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111</v>
      </c>
      <c r="AZ12" s="128">
        <f t="shared" si="1"/>
        <v>129</v>
      </c>
      <c r="BA12" s="128">
        <f t="shared" si="1"/>
        <v>107</v>
      </c>
      <c r="BB12" s="128">
        <f t="shared" si="1"/>
        <v>133</v>
      </c>
      <c r="BC12" s="126">
        <f>IF(ISNUMBER(X12),X12," - ")</f>
        <v>37</v>
      </c>
      <c r="BD12" s="127">
        <f t="shared" si="2"/>
        <v>0.8294573643410853</v>
      </c>
      <c r="BE12" s="128">
        <f t="shared" si="3"/>
        <v>1.2429906542056075</v>
      </c>
      <c r="BF12" s="128">
        <f t="shared" si="4"/>
        <v>0.34579439252336447</v>
      </c>
      <c r="BG12" s="200">
        <f t="shared" si="5"/>
        <v>2.2429906542056073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139</v>
      </c>
      <c r="J13" s="188">
        <f t="shared" si="6"/>
        <v>104</v>
      </c>
      <c r="K13" s="188">
        <f t="shared" si="6"/>
        <v>81</v>
      </c>
      <c r="L13" s="188">
        <f t="shared" si="6"/>
        <v>162</v>
      </c>
      <c r="M13" s="188">
        <f t="shared" si="6"/>
        <v>22</v>
      </c>
      <c r="N13" s="188">
        <f t="shared" si="6"/>
        <v>36</v>
      </c>
      <c r="O13" s="188">
        <f t="shared" si="6"/>
        <v>55</v>
      </c>
      <c r="P13" s="188">
        <f t="shared" si="6"/>
        <v>28</v>
      </c>
      <c r="Q13" s="188">
        <f t="shared" si="6"/>
        <v>45</v>
      </c>
      <c r="R13" s="188">
        <f t="shared" si="6"/>
        <v>425</v>
      </c>
      <c r="S13" s="188">
        <f t="shared" si="6"/>
        <v>111</v>
      </c>
      <c r="T13" s="188">
        <f t="shared" si="6"/>
        <v>111</v>
      </c>
      <c r="U13" s="188">
        <f t="shared" si="6"/>
        <v>96</v>
      </c>
      <c r="V13" s="188">
        <f t="shared" si="6"/>
        <v>126</v>
      </c>
      <c r="W13" s="188">
        <f t="shared" si="6"/>
        <v>32</v>
      </c>
      <c r="X13" s="188">
        <f t="shared" si="6"/>
        <v>37</v>
      </c>
      <c r="Y13" s="188">
        <f t="shared" si="6"/>
        <v>10</v>
      </c>
      <c r="Z13" s="188">
        <f t="shared" si="6"/>
        <v>16</v>
      </c>
      <c r="AA13" s="188">
        <f t="shared" si="6"/>
        <v>15</v>
      </c>
      <c r="AB13" s="188">
        <f t="shared" si="6"/>
        <v>11</v>
      </c>
      <c r="AC13" s="188">
        <f t="shared" si="6"/>
        <v>0</v>
      </c>
      <c r="AD13" s="188">
        <f t="shared" si="6"/>
        <v>0</v>
      </c>
      <c r="AE13" s="188">
        <f t="shared" si="6"/>
        <v>0</v>
      </c>
      <c r="AF13" s="188">
        <f>SUBTOTAL(9,AF9:AF12)</f>
        <v>0</v>
      </c>
      <c r="AG13" s="188">
        <f t="shared" ref="AG13:AT13" si="7">SUBTOTAL(9,AG8:AG12)</f>
        <v>0</v>
      </c>
      <c r="AH13" s="188">
        <f t="shared" si="7"/>
        <v>18</v>
      </c>
      <c r="AI13" s="188">
        <f t="shared" si="7"/>
        <v>11</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111</v>
      </c>
      <c r="AZ13" s="188">
        <f>SUBTOTAL(9,AZ8:AZ12)</f>
        <v>129</v>
      </c>
      <c r="BA13" s="188">
        <f>SUBTOTAL(9,BA8:BA12)</f>
        <v>107</v>
      </c>
      <c r="BB13" s="188">
        <f>SUBTOTAL(9,BB8:BB12)</f>
        <v>133</v>
      </c>
      <c r="BC13" s="188">
        <f>SUBTOTAL(9,BC8:BC12)</f>
        <v>37</v>
      </c>
      <c r="BD13" s="209">
        <f>IF(ISNUMBER(BA13/AZ13),BA13/AZ13," - ")</f>
        <v>0.8294573643410853</v>
      </c>
      <c r="BE13" s="210">
        <f>IF(ISNUMBER(BB13/BA13),BB13/BA13, " - ")</f>
        <v>1.2429906542056075</v>
      </c>
      <c r="BF13" s="210">
        <f>IF(ISNUMBER(BC13/BA13),BC13/BA13, " - ")</f>
        <v>0.34579439252336447</v>
      </c>
      <c r="BG13" s="211">
        <f>IF(ISNUMBER((AY13+AZ13)/BA13),(AY13+AZ13)/BA13," - ")</f>
        <v>2.2429906542056073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173</v>
      </c>
      <c r="J16" s="187">
        <v>141</v>
      </c>
      <c r="K16" s="187">
        <v>146</v>
      </c>
      <c r="L16" s="187">
        <v>168</v>
      </c>
      <c r="M16" s="187">
        <v>12</v>
      </c>
      <c r="N16" s="187">
        <v>109</v>
      </c>
      <c r="O16" s="185">
        <v>0</v>
      </c>
      <c r="P16" s="187">
        <v>2</v>
      </c>
      <c r="Q16" s="187">
        <v>4</v>
      </c>
      <c r="R16" s="187">
        <v>16</v>
      </c>
      <c r="S16" s="187">
        <v>171</v>
      </c>
      <c r="T16" s="187">
        <v>217</v>
      </c>
      <c r="U16" s="187">
        <v>189</v>
      </c>
      <c r="V16" s="187">
        <v>199</v>
      </c>
      <c r="W16" s="187">
        <v>16</v>
      </c>
      <c r="X16" s="193">
        <v>132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171</v>
      </c>
      <c r="AZ16" s="128">
        <f t="shared" si="9"/>
        <v>217</v>
      </c>
      <c r="BA16" s="128">
        <f t="shared" si="9"/>
        <v>189</v>
      </c>
      <c r="BB16" s="128">
        <f t="shared" si="9"/>
        <v>199</v>
      </c>
      <c r="BC16" s="126">
        <f>IF(ISNUMBER(W16),W16," - ")</f>
        <v>16</v>
      </c>
      <c r="BD16" s="127">
        <f t="shared" ref="BD16" si="11">IF(ISNUMBER(BA16/AZ16),BA16/AZ16," - ")</f>
        <v>0.87096774193548387</v>
      </c>
      <c r="BE16" s="128">
        <f t="shared" ref="BE16" si="12">IF(ISNUMBER(BB16/BA16),BB16/BA16, " - ")</f>
        <v>1.052910052910053</v>
      </c>
      <c r="BF16" s="128">
        <f t="shared" ref="BF16" si="13">IF(ISNUMBER(BC16/BA16),BC16/BA16, " - ")</f>
        <v>8.4656084656084651E-2</v>
      </c>
      <c r="BG16" s="200">
        <f t="shared" si="10"/>
        <v>2.052910052910053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v>
      </c>
      <c r="J17" s="187">
        <v>0</v>
      </c>
      <c r="K17" s="187">
        <v>3</v>
      </c>
      <c r="L17" s="187">
        <v>1</v>
      </c>
      <c r="M17" s="187">
        <v>0</v>
      </c>
      <c r="N17" s="187">
        <v>2</v>
      </c>
      <c r="O17" s="187">
        <v>0</v>
      </c>
      <c r="P17" s="187">
        <v>0</v>
      </c>
      <c r="Q17" s="187">
        <v>0</v>
      </c>
      <c r="R17" s="187">
        <v>0</v>
      </c>
      <c r="S17" s="187">
        <v>14</v>
      </c>
      <c r="T17" s="187">
        <v>12</v>
      </c>
      <c r="U17" s="187">
        <v>5</v>
      </c>
      <c r="V17" s="187">
        <v>21</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12</v>
      </c>
      <c r="BA17" s="130">
        <f t="shared" si="14"/>
        <v>5</v>
      </c>
      <c r="BB17" s="130">
        <f t="shared" si="14"/>
        <v>21</v>
      </c>
      <c r="BC17" s="126">
        <f>IF(ISNUMBER(W17),W17," - ")</f>
        <v>0</v>
      </c>
      <c r="BD17" s="127">
        <f>IF(ISNUMBER(BA17/AZ17),BA17/AZ17," - ")</f>
        <v>0.41666666666666669</v>
      </c>
      <c r="BE17" s="128">
        <f>IF(ISNUMBER(BB17/BA17),BB17/BA17, " - ")</f>
        <v>4.2</v>
      </c>
      <c r="BF17" s="128">
        <f>IF(ISNUMBER(BC17/BA17),BC17/BA17, " - ")</f>
        <v>0</v>
      </c>
      <c r="BG17" s="200">
        <f>IF(ISNUMBER((AY17+AZ17)/BA17),(AY17+AZ17)/BA17," - ")</f>
        <v>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177</v>
      </c>
      <c r="J18" s="188">
        <f t="shared" si="15"/>
        <v>141</v>
      </c>
      <c r="K18" s="188">
        <f t="shared" si="15"/>
        <v>149</v>
      </c>
      <c r="L18" s="188">
        <f t="shared" si="15"/>
        <v>169</v>
      </c>
      <c r="M18" s="188">
        <f t="shared" si="15"/>
        <v>12</v>
      </c>
      <c r="N18" s="188">
        <f t="shared" si="15"/>
        <v>111</v>
      </c>
      <c r="O18" s="188">
        <f t="shared" si="15"/>
        <v>0</v>
      </c>
      <c r="P18" s="188">
        <f t="shared" si="15"/>
        <v>2</v>
      </c>
      <c r="Q18" s="188">
        <f t="shared" si="15"/>
        <v>4</v>
      </c>
      <c r="R18" s="188">
        <f t="shared" si="15"/>
        <v>16</v>
      </c>
      <c r="S18" s="188">
        <f t="shared" si="15"/>
        <v>185</v>
      </c>
      <c r="T18" s="188">
        <f t="shared" si="15"/>
        <v>229</v>
      </c>
      <c r="U18" s="188">
        <f t="shared" si="15"/>
        <v>194</v>
      </c>
      <c r="V18" s="188">
        <f t="shared" si="15"/>
        <v>220</v>
      </c>
      <c r="W18" s="188">
        <f t="shared" si="15"/>
        <v>16</v>
      </c>
      <c r="X18" s="188">
        <f t="shared" si="15"/>
        <v>134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185</v>
      </c>
      <c r="AZ18" s="188">
        <f>SUBTOTAL(9,AZ14:AZ17)</f>
        <v>229</v>
      </c>
      <c r="BA18" s="188">
        <f>SUBTOTAL(9,BA14:BA17)</f>
        <v>194</v>
      </c>
      <c r="BB18" s="188">
        <f>SUBTOTAL(9,BB14:BB17)</f>
        <v>220</v>
      </c>
      <c r="BC18" s="188">
        <f>SUBTOTAL(9,BC14:BC17)</f>
        <v>16</v>
      </c>
      <c r="BD18" s="209">
        <f>IF(ISNUMBER(BA18/AZ18),BA18/AZ18," - ")</f>
        <v>0.84716157205240172</v>
      </c>
      <c r="BE18" s="210">
        <f>IF(ISNUMBER(BB18/BA18),BB18/BA18, " - ")</f>
        <v>1.134020618556701</v>
      </c>
      <c r="BF18" s="210">
        <f>IF(ISNUMBER(BC18/BA18),BC18/BA18, " - ")</f>
        <v>8.247422680412371E-2</v>
      </c>
      <c r="BG18" s="211">
        <f>IF(ISNUMBER((AY18+AZ18)/BA18),(AY18+AZ18)/BA18," - ")</f>
        <v>2.134020618556701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316</v>
      </c>
      <c r="J19" s="135">
        <f t="shared" si="18"/>
        <v>245</v>
      </c>
      <c r="K19" s="135">
        <f t="shared" si="18"/>
        <v>230</v>
      </c>
      <c r="L19" s="135">
        <f t="shared" si="18"/>
        <v>331</v>
      </c>
      <c r="M19" s="135">
        <f t="shared" si="18"/>
        <v>34</v>
      </c>
      <c r="N19" s="135">
        <f t="shared" si="18"/>
        <v>147</v>
      </c>
      <c r="O19" s="135">
        <f t="shared" si="18"/>
        <v>55</v>
      </c>
      <c r="P19" s="135">
        <f t="shared" si="18"/>
        <v>30</v>
      </c>
      <c r="Q19" s="135">
        <f t="shared" si="18"/>
        <v>49</v>
      </c>
      <c r="R19" s="135">
        <f t="shared" si="18"/>
        <v>441</v>
      </c>
      <c r="S19" s="135">
        <f t="shared" si="18"/>
        <v>296</v>
      </c>
      <c r="T19" s="135">
        <f t="shared" si="18"/>
        <v>340</v>
      </c>
      <c r="U19" s="135">
        <f t="shared" si="18"/>
        <v>290</v>
      </c>
      <c r="V19" s="135">
        <f t="shared" si="18"/>
        <v>346</v>
      </c>
      <c r="W19" s="135">
        <f t="shared" si="18"/>
        <v>48</v>
      </c>
      <c r="X19" s="135">
        <f t="shared" si="18"/>
        <v>171</v>
      </c>
      <c r="Y19" s="135">
        <f t="shared" si="18"/>
        <v>10</v>
      </c>
      <c r="Z19" s="135">
        <f t="shared" si="18"/>
        <v>16</v>
      </c>
      <c r="AA19" s="135">
        <f t="shared" si="18"/>
        <v>15</v>
      </c>
      <c r="AB19" s="135">
        <f t="shared" si="18"/>
        <v>11</v>
      </c>
      <c r="AC19" s="135">
        <f t="shared" si="18"/>
        <v>0</v>
      </c>
      <c r="AD19" s="135">
        <f t="shared" si="18"/>
        <v>0</v>
      </c>
      <c r="AE19" s="135">
        <f t="shared" si="18"/>
        <v>0</v>
      </c>
      <c r="AF19" s="135">
        <f t="shared" si="18"/>
        <v>0</v>
      </c>
      <c r="AG19" s="135">
        <f t="shared" si="18"/>
        <v>0</v>
      </c>
      <c r="AH19" s="135">
        <f t="shared" si="18"/>
        <v>18</v>
      </c>
      <c r="AI19" s="135">
        <f t="shared" si="18"/>
        <v>11</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296</v>
      </c>
      <c r="AZ19" s="135">
        <f>SUBTOTAL(9,AZ9:AZ18)</f>
        <v>358</v>
      </c>
      <c r="BA19" s="135">
        <f>SUBTOTAL(9,BA9:BA18)</f>
        <v>301</v>
      </c>
      <c r="BB19" s="135">
        <f>SUBTOTAL(9,BB9:BB18)</f>
        <v>353</v>
      </c>
      <c r="BC19" s="136">
        <f>SUBTOTAL(9,BC9:BC18)</f>
        <v>53</v>
      </c>
      <c r="BD19" s="217">
        <f>IF(ISNUMBER(BA19/AZ19),BA19/AZ19," - ")</f>
        <v>0.84078212290502796</v>
      </c>
      <c r="BE19" s="214">
        <f>IF(ISNUMBER(BB19/BA19),BB19/BA19, " - ")</f>
        <v>1.1727574750830565</v>
      </c>
      <c r="BF19" s="214">
        <f>IF(ISNUMBER(BC19/BA19),BC19/BA19, " - ")</f>
        <v>0.17607973421926909</v>
      </c>
      <c r="BG19" s="136">
        <f>IF(ISNUMBER((AY19+AZ19)/BA19),(AY19+AZ19)/BA19," - ")</f>
        <v>2.1727574750830563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rGyijQvcE/l5aFRfxc/hpW/K9kT/U/SLV5EOmYlFGlOR8r61mo6wJlIuUXloNlVQmngIOZRtz9pP+9CG4AFAQ==" saltValue="bE06sOdNektia24zgT29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tjGyaSbJ+TyTKBCjqBONTHVbekKugNoFxGSFWHFGVj/qFHrhp36kG0UHDJTMu03vV4iIkuFu+lCDLM59ruzMw==" saltValue="R7iD8guX1oN3ptawankC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CANGAS DEL NARCEA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425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0.79166666666666663</v>
      </c>
      <c r="BH12" s="669">
        <f>IF(ISNUMBER(((IF(J_V="SI",Datos!L12/Datos!K12,(Datos!L12+Datos!AB12)/(Datos!K12+Datos!AA12)))*11)/factor_trimestre),((IF(J_V="SI",Datos!L12/Datos!K12,(Datos!L12+Datos!AB12)/(Datos!K12+Datos!AA12)))*11)/factor_trimestre," - ")</f>
        <v>5.4631578947368427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-3.8461538461538464E-2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45</v>
      </c>
      <c r="AD13" s="1045">
        <f t="shared" si="1"/>
        <v>0</v>
      </c>
      <c r="AE13" s="1045">
        <f t="shared" si="1"/>
        <v>0</v>
      </c>
      <c r="AF13" s="1045">
        <f t="shared" si="1"/>
        <v>0</v>
      </c>
      <c r="AG13" s="1045">
        <f t="shared" si="1"/>
        <v>0</v>
      </c>
      <c r="AH13" s="1045">
        <f t="shared" si="1"/>
        <v>11</v>
      </c>
      <c r="AI13" s="1045">
        <f t="shared" si="1"/>
        <v>0</v>
      </c>
      <c r="AJ13" s="1045">
        <f t="shared" si="1"/>
        <v>0</v>
      </c>
      <c r="AK13" s="1045">
        <f t="shared" si="1"/>
        <v>0</v>
      </c>
      <c r="AL13" s="1045">
        <f t="shared" si="1"/>
        <v>0</v>
      </c>
      <c r="AM13" s="1045">
        <f t="shared" si="1"/>
        <v>425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v>
      </c>
      <c r="BD13" s="1045">
        <f t="shared" si="1"/>
        <v>36</v>
      </c>
      <c r="BE13" s="1045">
        <f t="shared" si="1"/>
        <v>0</v>
      </c>
      <c r="BF13" s="1045">
        <f t="shared" si="1"/>
        <v>0</v>
      </c>
      <c r="BG13" s="1045">
        <f>IF(ISNUMBER(Datos!K13/Datos!J13),Datos!K13/Datos!J13," - ")</f>
        <v>0.77884615384615385</v>
      </c>
      <c r="BH13" s="1049">
        <f>IF(ISNUMBER(((Datos!L13/Datos!K13)*11)/factor_trimestre),((Datos!L13/Datos!K13)*11)/factor_trimestre," - ")</f>
        <v>6</v>
      </c>
      <c r="BI13" s="1045">
        <f>IF(ISNUMBER('Resol  Asuntos'!D13/NºAsuntos!G13),'Resol  Asuntos'!D13/NºAsuntos!G13," - ")</f>
        <v>0.22916666666666666</v>
      </c>
      <c r="BJ13" s="1045" t="str">
        <f>IF(ISNUMBER(Datos!CI13/Datos!CJ13),Datos!CI13/Datos!CJ13," - ")</f>
        <v xml:space="preserve"> - </v>
      </c>
      <c r="BK13" s="1045">
        <f>SUBTOTAL(9,BK8:BK12)</f>
        <v>0</v>
      </c>
      <c r="BL13" s="1045">
        <f>IF(ISNUMBER((I13-AB13+L13)/(F13)),(I13-AB13+L13)/(F13)," - ")</f>
        <v>-1</v>
      </c>
      <c r="BM13" s="1050">
        <f>SUBTOTAL(9,BM9:BM12)</f>
        <v>-3.8461538461538464E-2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173</v>
      </c>
      <c r="G16" s="650">
        <f>IF(ISNUMBER(IF(D_I="SI",Datos!I16,Datos!I16+Datos!AC16)),IF(D_I="SI",Datos!I16,Datos!I16+Datos!AC16)," - ")</f>
        <v>173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146</v>
      </c>
      <c r="AC16" s="230">
        <f>IF(ISNUMBER(Datos!Q16),Datos!Q16," - ")</f>
        <v>4</v>
      </c>
      <c r="AD16" s="343"/>
      <c r="AE16" s="515"/>
      <c r="AF16" s="648">
        <f>IF(ISNUMBER(IF(D_I="SI",Datos!L16,Datos!L16+Datos!AF16)),IF(D_I="SI",Datos!L16,Datos!L16+Datos!AF16)," - ")</f>
        <v>168</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109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1.0354609929078014</v>
      </c>
      <c r="BH16" s="669">
        <f>IF(ISNUMBER(((IF(D_I="SI",Datos!L16/Datos!K16,(Datos!L16+Datos!AF16)/(Datos!K16+Datos!AE16)))*11)/factor_trimestre),((IF(D_I="SI",Datos!L16/Datos!K16,(Datos!L16+Datos!AF16)/(Datos!K16+Datos!AE16)))*11)/factor_trimestre," - ")</f>
        <v>3.452054794520548</v>
      </c>
      <c r="BI16" s="247">
        <f>IF(ISNUMBER('Resol  Asuntos'!D16/NºAsuntos!G16),'Resol  Asuntos'!D16/NºAsuntos!G16," - ")</f>
        <v>8.2191780821917804E-2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173</v>
      </c>
      <c r="G18" s="1044">
        <f>SUBTOTAL(9,G15:G17)</f>
        <v>177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149</v>
      </c>
      <c r="AC18" s="1045">
        <f t="shared" si="4"/>
        <v>4</v>
      </c>
      <c r="AD18" s="1045">
        <f t="shared" si="4"/>
        <v>0</v>
      </c>
      <c r="AE18" s="1045">
        <f t="shared" si="4"/>
        <v>0</v>
      </c>
      <c r="AF18" s="1045">
        <f t="shared" si="4"/>
        <v>169</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111</v>
      </c>
      <c r="BE18" s="1045">
        <f t="shared" si="4"/>
        <v>0</v>
      </c>
      <c r="BF18" s="1045">
        <f t="shared" si="4"/>
        <v>0</v>
      </c>
      <c r="BG18" s="1045">
        <f>IF(ISNUMBER(Datos!K18/Datos!J18),Datos!K18/Datos!J18," - ")</f>
        <v>1.0567375886524824</v>
      </c>
      <c r="BH18" s="1049">
        <f>IF(ISNUMBER(((Datos!L18/Datos!K18)*11)/factor_trimestre),((Datos!L18/Datos!K18)*11)/factor_trimestre," - ")</f>
        <v>3.4026845637583896</v>
      </c>
      <c r="BI18" s="1045">
        <f>SUBTOTAL(9,BI15:BI17)</f>
        <v>8.2191780821917804E-2</v>
      </c>
      <c r="BJ18" s="1045">
        <f>SUBTOTAL(9,BJ15:BJ17)</f>
        <v>0</v>
      </c>
      <c r="BK18" s="1045">
        <f>SUBTOTAL(9,BK15:BK17)</f>
        <v>0</v>
      </c>
      <c r="BL18" s="1045">
        <f>IF(ISNUMBER((I18-AB18+L18)/(F18)),(I18-AB18+L18)/(F18)," - ")</f>
        <v>-0.86127167630057799</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174</v>
      </c>
      <c r="G19" s="966">
        <f t="shared" si="6"/>
        <v>178</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30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150</v>
      </c>
      <c r="AC19" s="967">
        <f t="shared" si="7"/>
        <v>49</v>
      </c>
      <c r="AD19" s="967">
        <f t="shared" si="7"/>
        <v>0</v>
      </c>
      <c r="AE19" s="967">
        <f t="shared" si="7"/>
        <v>0</v>
      </c>
      <c r="AF19" s="974">
        <f t="shared" si="7"/>
        <v>169</v>
      </c>
      <c r="AG19" s="974">
        <f t="shared" si="7"/>
        <v>0</v>
      </c>
      <c r="AH19" s="974">
        <f t="shared" si="7"/>
        <v>11</v>
      </c>
      <c r="AI19" s="974">
        <f t="shared" si="7"/>
        <v>0</v>
      </c>
      <c r="AJ19" s="967">
        <f t="shared" si="7"/>
        <v>0</v>
      </c>
      <c r="AK19" s="974">
        <f t="shared" si="7"/>
        <v>0</v>
      </c>
      <c r="AL19" s="974">
        <f t="shared" si="7"/>
        <v>0</v>
      </c>
      <c r="AM19" s="974">
        <f t="shared" si="7"/>
        <v>441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v>
      </c>
      <c r="BD19" s="966">
        <f t="shared" si="7"/>
        <v>147</v>
      </c>
      <c r="BE19" s="966">
        <f t="shared" si="7"/>
        <v>0</v>
      </c>
      <c r="BF19" s="976">
        <f t="shared" si="7"/>
        <v>0</v>
      </c>
      <c r="BG19" s="1061">
        <f>IF(ISNUMBER(Datos!K19/Datos!J19),Datos!K19/Datos!J19," - ")</f>
        <v>0.93877551020408168</v>
      </c>
      <c r="BH19" s="1061">
        <f>IF(ISNUMBER(((Datos!L19/Datos!K19)*11)/factor_trimestre),((Datos!L19/Datos!K19)*11)/factor_trimestre," - ")</f>
        <v>4.3173913043478258</v>
      </c>
      <c r="BI19" s="959">
        <f>IF(ISNUMBER(Datos!J19/Datos!I19),Datos!J19/Datos!I19," - ")</f>
        <v>0.77531645569620256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-0.86206896551724133</v>
      </c>
      <c r="BM19" s="1035">
        <f>IF(ISNUMBER((Datos!P19-Datos!Q19+R19)/(Datos!R19-Datos!P19+Datos!Q19-R19)),(Datos!P19-Datos!Q19+R19)/(Datos!R19-Datos!P19+Datos!Q19-R19)," - ")</f>
        <v>-4.1304347826086954E-2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99.304246300615631</v>
      </c>
      <c r="G21" s="600">
        <f>IF(ISNUMBER(STDEV(G8:G18)),STDEV(G8:G18),"-")</f>
        <v>94.774469135943988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79.887420787005013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9.41629792788369</v>
      </c>
      <c r="BD21" s="599"/>
      <c r="BE21" s="599">
        <f>IF(ISNUMBER(STDEV(BE8:BE18)),STDEV(BE8:BE18),"-")</f>
        <v>0</v>
      </c>
      <c r="BF21" s="604">
        <f>IF(ISNUMBER(STDEV(BF8:BF18)),STDEV(BF8:BF18),"-")</f>
        <v>0</v>
      </c>
      <c r="BG21" s="914">
        <f>IF(ISNUMBER(STDEV(BG8:BG18)),STDEV(BG8:BG18),"-")</f>
        <v>0.1509387710935014</v>
      </c>
      <c r="BH21" s="918">
        <f>IF(ISNUMBER(STDEV(BH8:BH18)),STDEV(BH8:BH18),"-")</f>
        <v>2.3725167936725615</v>
      </c>
      <c r="BI21" s="253">
        <f>IF(ISNUMBER(STDEV(BI8:BI18)),STDEV(BI8:BI18),"-")</f>
        <v>9.5407709733290338E-2</v>
      </c>
      <c r="BJ21" s="234" t="str">
        <f>IF(ISNUMBER(BL21/BM21),BL21/BM21," - ")</f>
        <v xml:space="preserve"> - </v>
      </c>
      <c r="BK21" s="626"/>
      <c r="BL21" s="607">
        <f>IF(ISNUMBER(STDEV(BL8:BL18)),STDEV(BL8:BL18),"-")</f>
        <v>9.8095738430503732E-2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BdijQNIhVjdS5X2I3Md2Z9PnwAXlyc/JvuGI1QX5kZXo33jroUa1URLV/eV3b3+WC0hm9MLxQbwnLB0AJfluw==" saltValue="rxiOMz2W74QcHLH5qN7g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CANGAS DEL NARCEA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45</v>
      </c>
      <c r="AA12" s="505" t="str">
        <f>IF(ISNUMBER(IF(J_V="SI",Datos!L12,Datos!L12+Datos!AB12)-IF(Monitorios="SI",Datos!CD12,0)),
                          IF(J_V="SI",Datos!L12,Datos!L12+Datos!AB12)-IF(Monitorios="SI",Datos!CD12,0),
                          " - ")</f>
        <v xml:space="preserve"> - </v>
      </c>
      <c r="AB12" s="503"/>
      <c r="AC12" s="503"/>
      <c r="AD12" s="516"/>
      <c r="AE12" s="516">
        <f>IF(ISNUMBER(Datos!R12),Datos!R12," - ")</f>
        <v>425</v>
      </c>
      <c r="AF12" s="619" t="str">
        <f>IF(ISNUMBER(Datos!BV12),Datos!BV12," - ")</f>
        <v xml:space="preserve"> - </v>
      </c>
      <c r="AG12" s="506" t="str">
        <f>IF(ISNUMBER(Datos!DV12),Datos!DV12," - ")</f>
        <v xml:space="preserve"> - </v>
      </c>
      <c r="AH12" s="507"/>
      <c r="AI12" s="508"/>
      <c r="AJ12" s="506">
        <f>IF(ISNUMBER(Datos!M12),Datos!M12," - ")</f>
        <v>21</v>
      </c>
      <c r="AK12" s="619">
        <f>IF(ISNUMBER(Datos!N12),Datos!N12," - ")</f>
        <v>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5.4631578947368427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-3.8461538461538464E-2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45</v>
      </c>
      <c r="AA13" s="1046">
        <f t="shared" si="2"/>
        <v>0</v>
      </c>
      <c r="AB13" s="1046">
        <f t="shared" si="2"/>
        <v>0</v>
      </c>
      <c r="AC13" s="1046">
        <f t="shared" si="2"/>
        <v>0</v>
      </c>
      <c r="AD13" s="1046">
        <f t="shared" si="2"/>
        <v>0</v>
      </c>
      <c r="AE13" s="1046">
        <f t="shared" si="2"/>
        <v>425</v>
      </c>
      <c r="AF13" s="1054">
        <f t="shared" si="2"/>
        <v>0</v>
      </c>
      <c r="AG13" s="1054">
        <f t="shared" si="2"/>
        <v>0</v>
      </c>
      <c r="AH13" s="1054">
        <f t="shared" si="2"/>
        <v>0</v>
      </c>
      <c r="AI13" s="1054">
        <f t="shared" si="2"/>
        <v>0</v>
      </c>
      <c r="AJ13" s="1054">
        <f t="shared" si="2"/>
        <v>22</v>
      </c>
      <c r="AK13" s="1054">
        <f t="shared" si="2"/>
        <v>36</v>
      </c>
      <c r="AL13" s="1054">
        <f t="shared" si="2"/>
        <v>0</v>
      </c>
      <c r="AM13" s="1054">
        <f t="shared" si="2"/>
        <v>0</v>
      </c>
      <c r="AN13" s="1054">
        <f t="shared" si="2"/>
        <v>0</v>
      </c>
      <c r="AO13" s="1050">
        <f>IF(ISNUMBER(((NºAsuntos!I13/NºAsuntos!G13)*11)/factor_trimestre),((NºAsuntos!I13/NºAsuntos!G13)*11)/factor_trimestre," - ")</f>
        <v>5.40625</v>
      </c>
      <c r="AP13" s="1056" t="str">
        <f>IF(ISNUMBER(Datos!CI13/Datos!CJ13),Datos!CI13/Datos!CJ13," - ")</f>
        <v xml:space="preserve"> - </v>
      </c>
      <c r="AQ13" s="1074">
        <f t="shared" ref="AQ13:AV13" si="3">SUBTOTAL(9,AQ9:AQ12)</f>
        <v>0</v>
      </c>
      <c r="AR13" s="1074">
        <f t="shared" si="3"/>
        <v>-3.8461538461538464E-2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173</v>
      </c>
      <c r="G16" s="506">
        <f>IF(ISNUMBER(IF(D_I="SI",Datos!I16,Datos!I16+Datos!AC16)),IF(D_I="SI",Datos!I16,Datos!I16+Datos!AC16)," - ")</f>
        <v>173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146</v>
      </c>
      <c r="Z16" s="703">
        <f>IF(ISNUMBER(Datos!Q16),Datos!Q16," - ")</f>
        <v>4</v>
      </c>
      <c r="AA16" s="505">
        <f>IF(ISNUMBER(IF(D_I="SI",Datos!L16,Datos!L16+Datos!AF16)),IF(D_I="SI",Datos!L16,Datos!L16+Datos!AF16)," - ")</f>
        <v>168</v>
      </c>
      <c r="AB16" s="503"/>
      <c r="AC16" s="503"/>
      <c r="AD16" s="516"/>
      <c r="AE16" s="516">
        <f>IF(ISNUMBER(Datos!R16),Datos!R16," - ")</f>
        <v>16</v>
      </c>
      <c r="AF16" s="619" t="str">
        <f>IF(ISNUMBER(Datos!BV16),Datos!BV16," - ")</f>
        <v xml:space="preserve"> - </v>
      </c>
      <c r="AG16" s="506"/>
      <c r="AH16" s="507"/>
      <c r="AI16" s="508"/>
      <c r="AJ16" s="506">
        <f>IF(ISNUMBER(Datos!M16),Datos!M16," - ")</f>
        <v>12</v>
      </c>
      <c r="AK16" s="619">
        <f>IF(ISNUMBER(Datos!N16),Datos!N16," - ")</f>
        <v>109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3.452054794520548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173</v>
      </c>
      <c r="G18" s="1044">
        <f>SUBTOTAL(9,G15:G17)</f>
        <v>177</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149</v>
      </c>
      <c r="Z18" s="1078">
        <f t="shared" si="5"/>
        <v>4</v>
      </c>
      <c r="AA18" s="1078">
        <f t="shared" si="5"/>
        <v>169</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12</v>
      </c>
      <c r="AK18" s="1078">
        <f t="shared" si="5"/>
        <v>111</v>
      </c>
      <c r="AL18" s="1078">
        <f t="shared" si="5"/>
        <v>0</v>
      </c>
      <c r="AM18" s="1078">
        <f t="shared" si="5"/>
        <v>0</v>
      </c>
      <c r="AN18" s="1078">
        <f t="shared" si="5"/>
        <v>0</v>
      </c>
      <c r="AO18" s="1080">
        <f>IF(ISNUMBER(((NºAsuntos!I18/NºAsuntos!G18)*11)/factor_trimestre),((NºAsuntos!I18/NºAsuntos!G18)*11)/factor_trimestre," - ")</f>
        <v>3.4026845637583896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174</v>
      </c>
      <c r="G19" s="966">
        <f t="shared" si="7"/>
        <v>178</v>
      </c>
      <c r="H19" s="967">
        <f t="shared" si="7"/>
        <v>0</v>
      </c>
      <c r="I19" s="966">
        <f t="shared" si="7"/>
        <v>0</v>
      </c>
      <c r="J19" s="968">
        <f t="shared" si="7"/>
        <v>0</v>
      </c>
      <c r="K19" s="966">
        <f t="shared" si="7"/>
        <v>0</v>
      </c>
      <c r="L19" s="969">
        <f t="shared" si="7"/>
        <v>0</v>
      </c>
      <c r="M19" s="966">
        <f t="shared" si="7"/>
        <v>0</v>
      </c>
      <c r="N19" s="967">
        <f t="shared" si="7"/>
        <v>30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150</v>
      </c>
      <c r="Z19" s="973">
        <f t="shared" si="8"/>
        <v>49</v>
      </c>
      <c r="AA19" s="974">
        <f t="shared" si="8"/>
        <v>169</v>
      </c>
      <c r="AB19" s="974">
        <f t="shared" si="8"/>
        <v>0</v>
      </c>
      <c r="AC19" s="974">
        <f t="shared" si="8"/>
        <v>0</v>
      </c>
      <c r="AD19" s="975">
        <f t="shared" si="8"/>
        <v>0</v>
      </c>
      <c r="AE19" s="975">
        <f t="shared" si="8"/>
        <v>441</v>
      </c>
      <c r="AF19" s="976">
        <f t="shared" si="8"/>
        <v>0</v>
      </c>
      <c r="AG19" s="977">
        <f t="shared" si="8"/>
        <v>0</v>
      </c>
      <c r="AH19" s="978">
        <f t="shared" si="8"/>
        <v>0</v>
      </c>
      <c r="AI19" s="976">
        <f t="shared" si="8"/>
        <v>0</v>
      </c>
      <c r="AJ19" s="966">
        <f t="shared" si="8"/>
        <v>34</v>
      </c>
      <c r="AK19" s="966">
        <f t="shared" si="8"/>
        <v>147</v>
      </c>
      <c r="AL19" s="966">
        <f t="shared" si="8"/>
        <v>0</v>
      </c>
      <c r="AM19" s="979">
        <f t="shared" si="8"/>
        <v>0</v>
      </c>
      <c r="AN19" s="969">
        <f>IF(ISNUMBER(Datos!K19/Datos!J19),Datos!K19/Datos!J19," - ")</f>
        <v>0.93877551020408168</v>
      </c>
      <c r="AO19" s="969">
        <f>IF(ISNUMBER(FIND("06",Criterios!A8,1)),(IF(ISNUMBER(((Datos!R19/Datos!Q19)*11)/factor_trimestre),((Datos!R19/Datos!Q19)*11)/factor_trimestre," - ")),(IF(ISNUMBER(((Datos!L19/Datos!K19)*11)/factor_trimestre),((Datos!L19/Datos!K19)*11)/factor_trimestre," - ")))</f>
        <v>4.3173913043478258</v>
      </c>
      <c r="AP19" s="980" t="str">
        <f>IF(ISNUMBER(Datos!CI19/Datos!CJ19),Datos!CI19/Datos!CJ19," - ")</f>
        <v xml:space="preserve"> - </v>
      </c>
      <c r="AQ19" s="980">
        <f>IF(OR(ISNUMBER(FIND("01",Criterios!A8,1)),ISNUMBER(FIND("02",Criterios!A8,1)),ISNUMBER(FIND("03",Criterios!A8,1)),ISNUMBER(FIND("04",Criterios!A8,1))),(J19-Y19+K19)/(F19-K19),(I19-Y19+K19)/(F19-K19))</f>
        <v>-0.86206896551724133</v>
      </c>
      <c r="AR19" s="980">
        <f>IF(ISNUMBER((Datos!P19-Datos!Q19+O19)/(Datos!R19-Datos!P19+Datos!Q19-O19)),(Datos!P19-Datos!Q19+O19)/(Datos!R19-Datos!P19+Datos!Q19-O19)," - ")</f>
        <v>-4.1304347826086954E-2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99.304246300615631</v>
      </c>
      <c r="G21" s="600">
        <f>IF(ISNUMBER(STDEV(G8:G18)),STDEV(G8:G18),"-")</f>
        <v>94.774469135943988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9.41629792788369</v>
      </c>
      <c r="AK21" s="256"/>
      <c r="AL21" s="256">
        <f>IF(ISNUMBER(STDEV(AL8:AL18)),STDEV(AL8:AL18),"-")</f>
        <v>0</v>
      </c>
      <c r="AM21" s="258">
        <f>IF(ISNUMBER(STDEV(AM8:AM18)),STDEV(AM8:AM18),"-")</f>
        <v>0</v>
      </c>
      <c r="AN21" s="586">
        <f>IF(ISNUMBER(STDEV(AN8:AN18)),STDEV(AN8:AN18),"-")</f>
        <v>0</v>
      </c>
      <c r="AO21" s="587">
        <f>IF(ISNUMBER(STDEV(AO8:AO18)),STDEV(AO8:AO18),"-")</f>
        <v>2.2421550376680481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frGnWpmq5e9rQw8fl5B5brWKmAuU+/M99jpRxbywf4GAMMstkCvs0Bd7HIuZPNlfjy75jCJBgTwfAFQ8KYREA==" saltValue="F+njdzJ32aea4hoPmGpn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bvWTc3sWhVThQEmVl5xBk4MtU4glKpZW2f8hy346JVJ9OtQn/LARi/giFwMPCVmsGLsb9EGMRyForrGuy6L+A==" saltValue="CEJ6CqskBW3Oz+eyXzFH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NPCS/rZYIICf8L5PDwmSYc0CCyIP3L3+hSd1oQP+dnLIAEjlsI8h7VrirX6q8qjToSx1I87seBrPyBgoQMlkw==" saltValue="WqkUxsWqAy8A6gG3lwtD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CANGAS DEL NARCEA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0.22916666666666666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0.16204530402191714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UT/KdXEH+KXmBbDETzcXWTuNgjlgvg8aNGbGfb9jHygVeqjhegxh/Hw3eVUEYD6yuldoq1DrJ6FBqx4LXZGqw==" saltValue="ikDz5QW1VzLw+NWrnFiZ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LC44hmoRtCZZ2Ksaxc6SYQzyN1nSG6uDGmNYj70CStOU5zuEYDDh9WzKL2g4u4Kp4CPxAX4FkQJyQM9Tspuw==" saltValue="CpmWUAHrORvPhgejZqW0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CANGAS DEL NARCEA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148</v>
      </c>
      <c r="D12" s="415">
        <f>IF(ISNUMBER(C12/Datos!BH12),C12/Datos!BH12," - ")</f>
        <v>148</v>
      </c>
      <c r="E12" s="414">
        <f>IF(ISNUMBER(IF(J_V="SI",Datos!J12,Datos!J12+Datos!Z12)),IF(J_V="SI",Datos!J12,Datos!J12+Datos!Z12)," - ")</f>
        <v>120</v>
      </c>
      <c r="F12" s="415">
        <f>IF(ISNUMBER(E12/B12),E12/B12," - ")</f>
        <v>120</v>
      </c>
      <c r="G12" s="414">
        <f>IF(ISNUMBER(IF(J_V="SI",Datos!K12,Datos!K12+Datos!AA12)),IF(J_V="SI",Datos!K12,Datos!K12+Datos!AA12)," - ")</f>
        <v>95</v>
      </c>
      <c r="H12" s="415">
        <f>IF(ISNUMBER(G12/B12),G12/B12," - ")</f>
        <v>95</v>
      </c>
      <c r="I12" s="414">
        <f>IF(ISNUMBER(IF(J_V="SI",Datos!L12,Datos!L12+Datos!AB12)),IF(J_V="SI",Datos!L12,Datos!L12+Datos!AB12)," - ")</f>
        <v>173</v>
      </c>
      <c r="J12" s="415">
        <f>IF(ISNUMBER(I12/B12),I12/B12," - ")</f>
        <v>173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149</v>
      </c>
      <c r="D13" s="996" t="str">
        <f>IF(ISNUMBER(C13/Datos!BI13),C13/Datos!BI13," - ")</f>
        <v xml:space="preserve"> - </v>
      </c>
      <c r="E13" s="995">
        <f>SUBTOTAL(9,E8:E12)</f>
        <v>120</v>
      </c>
      <c r="F13" s="996">
        <f>IF(ISNUMBER(E13/B13),E13/B13," - ")</f>
        <v>120</v>
      </c>
      <c r="G13" s="995">
        <f>SUBTOTAL(9,G8:G12)</f>
        <v>96</v>
      </c>
      <c r="H13" s="996">
        <f>IF(ISNUMBER(G13/B13),G13/B13," - ")</f>
        <v>96</v>
      </c>
      <c r="I13" s="995">
        <f>SUBTOTAL(9,I8:I12)</f>
        <v>173</v>
      </c>
      <c r="J13" s="996">
        <f>IF(ISNUMBER(I13/B13),I13/B13," - ")</f>
        <v>173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173</v>
      </c>
      <c r="D16" s="415">
        <f>IF(ISNUMBER(C16/Datos!BH16),C16/Datos!BH16," - ")</f>
        <v>173</v>
      </c>
      <c r="E16" s="414">
        <f>IF(ISNUMBER(IF(D_I="SI",Datos!J16,Datos!J16+Datos!AD16)),IF(D_I="SI",Datos!J16,Datos!J16+Datos!AD16)," - ")</f>
        <v>141</v>
      </c>
      <c r="F16" s="415">
        <f>IF(ISNUMBER(E16/B16),E16/B16," - ")</f>
        <v>141</v>
      </c>
      <c r="G16" s="414">
        <f>IF(ISNUMBER(IF(D_I="SI",Datos!K16,Datos!K16+Datos!AE16)),IF(D_I="SI",Datos!K16,Datos!K16+Datos!AE16)," - ")</f>
        <v>146</v>
      </c>
      <c r="H16" s="415">
        <f>IF(ISNUMBER(G16/B16),G16/B16," - ")</f>
        <v>146</v>
      </c>
      <c r="I16" s="414">
        <f>IF(ISNUMBER(IF(D_I="SI",Datos!L16,Datos!L16+Datos!AF16)),IF(D_I="SI",Datos!L16,Datos!L16+Datos!AF16)," - ")</f>
        <v>168</v>
      </c>
      <c r="J16" s="415">
        <f>IF(ISNUMBER(I16/B16),I16/B16," - ")</f>
        <v>168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v>
      </c>
      <c r="D17" s="415">
        <f>IF(ISNUMBER(C17/Datos!BH17),C17/Datos!BH17," - ")</f>
        <v>4</v>
      </c>
      <c r="E17" s="414">
        <f>IF(ISNUMBER(IF(D_I="SI",Datos!J17,Datos!J17+Datos!AD17)),IF(D_I="SI",Datos!J17,Datos!J17+Datos!AD17)," - ")</f>
        <v>0</v>
      </c>
      <c r="F17" s="415">
        <f>IF(ISNUMBER(E17/B17),E17/B17," - ")</f>
        <v>0</v>
      </c>
      <c r="G17" s="414">
        <f>IF(ISNUMBER(IF(D_I="SI",Datos!K17,Datos!K17+Datos!AE17)),IF(D_I="SI",Datos!K17,Datos!K17+Datos!AE17)," - ")</f>
        <v>3</v>
      </c>
      <c r="H17" s="415">
        <f>IF(ISNUMBER(G17/B17),G17/B17," - ")</f>
        <v>3</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177</v>
      </c>
      <c r="D18" s="996" t="str">
        <f>IF(ISNUMBER(C18/Datos!BI18),C18/Datos!BI18," - ")</f>
        <v xml:space="preserve"> - </v>
      </c>
      <c r="E18" s="995">
        <f>SUBTOTAL(9,E14:E17)</f>
        <v>141</v>
      </c>
      <c r="F18" s="996">
        <f>IF(ISNUMBER(E18/B18),E18/B18," - ")</f>
        <v>141</v>
      </c>
      <c r="G18" s="995">
        <f>SUBTOTAL(9,G14:G17)</f>
        <v>149</v>
      </c>
      <c r="H18" s="996">
        <f>IF(ISNUMBER(G18/B18),G18/B18," - ")</f>
        <v>149</v>
      </c>
      <c r="I18" s="995">
        <f>SUBTOTAL(9,I14:I17)</f>
        <v>169</v>
      </c>
      <c r="J18" s="996">
        <f>IF(ISNUMBER(I18/B18),I18/B18," - ")</f>
        <v>169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326</v>
      </c>
      <c r="D19" s="941" t="str">
        <f>IF(ISNUMBER(C19/Datos!BI19),C19/Datos!BI19," - ")</f>
        <v xml:space="preserve"> - </v>
      </c>
      <c r="E19" s="940">
        <f>SUBTOTAL(9,E9:E18)</f>
        <v>261</v>
      </c>
      <c r="F19" s="941">
        <f>IF(ISNUMBER(E19/B19),E19/B19," - ")</f>
        <v>261</v>
      </c>
      <c r="G19" s="940">
        <f>SUBTOTAL(9,G9:G18)</f>
        <v>245</v>
      </c>
      <c r="H19" s="941">
        <f>IF(ISNUMBER(G19/B19),G19/B19," - ")</f>
        <v>245</v>
      </c>
      <c r="I19" s="940">
        <f>SUBTOTAL(9,I9:I18)</f>
        <v>342</v>
      </c>
      <c r="J19" s="941">
        <f>IF(ISNUMBER(I19/B19),I19/B19," - ")</f>
        <v>342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H+0hrx0qAylly1HFhukYEMv8mzF4KEUTUETZPnePuS29ICUdXuPjYwXZ4mt35ZbliJOPxMY9NcffSrVJ1apuQ==" saltValue="vsm37DCCgtx2yw7WnodP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CANGAS DEL NARCEA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5.4631578947368427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-3.8461538461538464E-2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45</v>
      </c>
      <c r="AE13" s="1085">
        <f t="shared" si="1"/>
        <v>0</v>
      </c>
      <c r="AF13" s="1085">
        <f t="shared" si="1"/>
        <v>0</v>
      </c>
      <c r="AG13" s="1085">
        <f t="shared" si="1"/>
        <v>0</v>
      </c>
      <c r="AH13" s="1085">
        <f t="shared" si="1"/>
        <v>425</v>
      </c>
      <c r="AI13" s="1085">
        <f t="shared" si="1"/>
        <v>0</v>
      </c>
      <c r="AJ13" s="1085">
        <f t="shared" si="1"/>
        <v>0</v>
      </c>
      <c r="AK13" s="1085">
        <f t="shared" si="1"/>
        <v>0</v>
      </c>
      <c r="AL13" s="1085">
        <f t="shared" si="1"/>
        <v>22</v>
      </c>
      <c r="AM13" s="1085">
        <f t="shared" si="1"/>
        <v>36</v>
      </c>
      <c r="AN13" s="1085">
        <f t="shared" si="1"/>
        <v>0</v>
      </c>
      <c r="AO13" s="1085">
        <f t="shared" si="1"/>
        <v>0</v>
      </c>
      <c r="AP13" s="1090">
        <f>IF(ISNUMBER(((Datos!L13/Datos!K13)*11)/factor_trimestre),((Datos!L13/Datos!K13)*11)/factor_trimestre," - ")</f>
        <v>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-3.8461538461538464E-2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3.4026845637583896</v>
      </c>
      <c r="AQ18" s="1090">
        <f>IF(ISNUMBER(((Datos!M18/Datos!L18)*11)/factor_trimestre),((Datos!M18/Datos!L18)*11)/factor_trimestre," - ")</f>
        <v>0.21301775147928995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-6.0913705583756347E-2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45</v>
      </c>
      <c r="AE19" s="1103">
        <f t="shared" si="5"/>
        <v>0</v>
      </c>
      <c r="AF19" s="1104">
        <f t="shared" si="5"/>
        <v>0</v>
      </c>
      <c r="AG19" s="1104">
        <f t="shared" si="5"/>
        <v>0</v>
      </c>
      <c r="AH19" s="1104">
        <f t="shared" si="5"/>
        <v>425</v>
      </c>
      <c r="AI19" s="1104">
        <f t="shared" si="5"/>
        <v>0</v>
      </c>
      <c r="AJ19" s="1105">
        <f t="shared" si="5"/>
        <v>0</v>
      </c>
      <c r="AK19" s="1105">
        <f t="shared" si="5"/>
        <v>0</v>
      </c>
      <c r="AL19" s="1097">
        <f t="shared" si="5"/>
        <v>22</v>
      </c>
      <c r="AM19" s="1097">
        <f t="shared" si="5"/>
        <v>36</v>
      </c>
      <c r="AN19" s="1097">
        <f t="shared" si="5"/>
        <v>0</v>
      </c>
      <c r="AO19" s="1097">
        <f t="shared" si="5"/>
        <v>0</v>
      </c>
      <c r="AP19" s="1097">
        <f>IF(ISNUMBER(((Datos!L19/Datos!K19)*11)/factor_trimestre),((Datos!L19/Datos!K19)*11)/factor_trimestre," - ")</f>
        <v>4.3173913043478258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-4.1304347826086954E-2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12.138094304022083</v>
      </c>
      <c r="AM21" s="869"/>
      <c r="AN21" s="869">
        <f>IF(ISNUMBER(STDEV(AN8:AN18)),STDEV(AN8:AN18),"-")</f>
        <v>0</v>
      </c>
      <c r="AO21" s="875">
        <f>IF(ISNUMBER(STDEV(AO8:AO18)),STDEV(AO8:AO18),"-")</f>
        <v>0</v>
      </c>
      <c r="AP21" s="922">
        <f>IF(ISNUMBER(STDEV(AP8:AP18)),STDEV(AP8:AP18),"-")</f>
        <v>2.7188256302470766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hG0n2KogulJp41mpGT1L1pMylQy2n8AsaC8X4r/K8KRyy+6x3xuN6U09MbHNi1MdxKjyGJ/Y7xVMrB0mhazpg==" saltValue="xAixIed5k+Tor3eO4oAf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CANGAS DEL NARCEA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cxC+8Il0l0M/RKrARWJla9Iw4TcVONgI1s1AxB3UcQ8RdbEvBWfTb8/ipYGdB29vHKn99DjBBb/u4yQOk46rA==" saltValue="jTMXQrhSq3/R7tQF7EP3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CANGAS DEL NARCEA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36</v>
      </c>
      <c r="G12" s="415">
        <f t="shared" si="1"/>
        <v>36</v>
      </c>
      <c r="H12" s="414">
        <f>IF(ISNUMBER(Datos!O12),Datos!O12," - ")</f>
        <v>55</v>
      </c>
      <c r="I12" s="415">
        <f t="shared" si="2"/>
        <v>55</v>
      </c>
    </row>
    <row r="13" spans="1:9" ht="14.25" thickTop="1" thickBot="1">
      <c r="A13" s="994" t="str">
        <f>Datos!A13</f>
        <v>TOTAL</v>
      </c>
      <c r="B13" s="995">
        <f>Datos!AO13</f>
        <v>2</v>
      </c>
      <c r="C13" s="997">
        <f>Datos!AR13</f>
        <v>1</v>
      </c>
      <c r="D13" s="995">
        <f>SUBTOTAL(9,D9:D12)</f>
        <v>22</v>
      </c>
      <c r="E13" s="996">
        <f t="shared" si="0"/>
        <v>11</v>
      </c>
      <c r="F13" s="995">
        <f>SUBTOTAL(9,F9:F12)</f>
        <v>36</v>
      </c>
      <c r="G13" s="996">
        <f t="shared" si="1"/>
        <v>18</v>
      </c>
      <c r="H13" s="995">
        <f>SUBTOTAL(9,H9:H12)</f>
        <v>55</v>
      </c>
      <c r="I13" s="996">
        <f>IF(ISNUMBER(H13/B13),H13/B13," - ")</f>
        <v>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109</v>
      </c>
      <c r="G16" s="415">
        <f t="shared" si="4"/>
        <v>109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111</v>
      </c>
      <c r="G18" s="996">
        <f t="shared" si="4"/>
        <v>55.5</v>
      </c>
      <c r="H18" s="995">
        <f>SUBTOTAL(9,H15:H17)</f>
        <v>0</v>
      </c>
      <c r="I18" s="996">
        <f>IF(ISNUMBER(H18/B18),H18/B18," - ")</f>
        <v>0</v>
      </c>
    </row>
    <row r="19" spans="1:9" ht="14.25" thickTop="1" thickBot="1">
      <c r="A19" s="939" t="str">
        <f>Datos!A19</f>
        <v>TOTAL JURISDICCIONES</v>
      </c>
      <c r="B19" s="940">
        <f>Datos!AP19</f>
        <v>1</v>
      </c>
      <c r="C19" s="940">
        <f>Datos!AR19</f>
        <v>1</v>
      </c>
      <c r="D19" s="940">
        <f>SUBTOTAL(9,D8:D18)</f>
        <v>34</v>
      </c>
      <c r="E19" s="941">
        <f>IF(ISNUMBER(D19/B19),D19/B19," - ")</f>
        <v>34</v>
      </c>
      <c r="F19" s="940">
        <f>SUBTOTAL(9,F8:F18)</f>
        <v>147</v>
      </c>
      <c r="G19" s="941">
        <f>IF(ISNUMBER(F19/B19),F19/B19," - ")</f>
        <v>147</v>
      </c>
      <c r="H19" s="940">
        <f>SUBTOTAL(9,H8:H18)</f>
        <v>55</v>
      </c>
      <c r="I19" s="941">
        <f>IF(ISNUMBER(H19/B19),H19/B19," - ")</f>
        <v>55</v>
      </c>
    </row>
    <row r="22" spans="1:9">
      <c r="A22" s="402" t="str">
        <f>Criterios!A4</f>
        <v>Fecha Informe: 06 oct. 2023</v>
      </c>
    </row>
    <row r="27" spans="1:9">
      <c r="A27" s="425"/>
    </row>
  </sheetData>
  <sheetProtection algorithmName="SHA-512" hashValue="hBVVP6XIoDaqR0wHxrHXT3JgYII046OCx2svWUMx8BpNuT809/XGr9lldueAtYQIw8gR7Pkr52dA8JDUXi6KjA==" saltValue="F4UEBF3QAY79S4jrQWhB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CANGAS DEL NARCEA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45</v>
      </c>
      <c r="D12" s="419">
        <f>IF(ISNUMBER(Datos!R12),Datos!R12," - ")</f>
        <v>425</v>
      </c>
    </row>
    <row r="13" spans="1:4" ht="14.25" thickTop="1" thickBot="1">
      <c r="A13" s="994" t="str">
        <f>Datos!A13</f>
        <v>TOTAL</v>
      </c>
      <c r="B13" s="995">
        <f>SUBTOTAL(9,B9:B12)</f>
        <v>28</v>
      </c>
      <c r="C13" s="999">
        <f>SUBTOTAL(9,C9:C12)</f>
        <v>45</v>
      </c>
      <c r="D13" s="997">
        <f>SUBTOTAL(9,D9:D12)</f>
        <v>425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4</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4</v>
      </c>
      <c r="D18" s="997">
        <f>SUBTOTAL(9,D15:D17)</f>
        <v>16</v>
      </c>
    </row>
    <row r="19" spans="1:4" ht="16.5" customHeight="1" thickTop="1" thickBot="1">
      <c r="A19" s="939" t="str">
        <f>Datos!A19</f>
        <v>TOTAL JURISDICCIONES</v>
      </c>
      <c r="B19" s="944">
        <f>SUBTOTAL(9,B8:B18)</f>
        <v>30</v>
      </c>
      <c r="C19" s="945">
        <f>SUBTOTAL(9,C8:C18)</f>
        <v>49</v>
      </c>
      <c r="D19" s="946">
        <f>SUBTOTAL(9,D8:D18)</f>
        <v>441</v>
      </c>
    </row>
    <row r="20" spans="1:4" ht="7.5" customHeight="1"/>
    <row r="21" spans="1:4" ht="6" customHeight="1"/>
    <row r="22" spans="1:4">
      <c r="A22" s="402" t="str">
        <f>Criterios!A4</f>
        <v>Fecha Informe: 06 oct. 2023</v>
      </c>
    </row>
    <row r="27" spans="1:4">
      <c r="A27" s="425"/>
    </row>
  </sheetData>
  <sheetProtection algorithmName="SHA-512" hashValue="nt3SoYNKvG4tpH3g5pg2uJUeZ66PL905rttv+daJ8QoBJ6YiA82OReJro4FntFRlZCw+igE3RMJPMYmMe7hOMA==" saltValue="nJRqolYwJKCYp1UroHz1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CANGAS DEL NARCEA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0.33333333333333331</v>
      </c>
      <c r="C12" s="472">
        <f>IF(ISNUMBER(
   IF(J_V="SI",(Datos!J12-Datos!T12)/Datos!T12,(Datos!J12+Datos!Z12-(Datos!T12+Datos!AH12))/(Datos!T12+Datos!AH12))
     ),IF(J_V="SI",(Datos!J12-Datos!T12)/Datos!T12,(Datos!J12+Datos!Z12-(Datos!T12+Datos!AH12))/(Datos!T12+Datos!AH12))," - ")</f>
        <v>-6.9767441860465115E-2</v>
      </c>
      <c r="D12" s="472">
        <f>IF(ISNUMBER(
   IF(J_V="SI",(Datos!K12-Datos!U12)/Datos!U12,(Datos!K12+Datos!AA12-(Datos!U12+Datos!AI12))/(Datos!U12+Datos!AI12))
     ),IF(J_V="SI",(Datos!K12-Datos!U12)/Datos!U12,(Datos!K12+Datos!AA12-(Datos!U12+Datos!AI12))/(Datos!U12+Datos!AI12))," - ")</f>
        <v>-0.11214953271028037</v>
      </c>
      <c r="E12" s="472">
        <f>IF(ISNUMBER(
   IF(J_V="SI",(Datos!L12-Datos!V12)/Datos!V12,(Datos!L12+Datos!AB12-(Datos!V12+Datos!AJ12))/(Datos!V12+Datos!AJ12))
     ),IF(J_V="SI",(Datos!L12-Datos!V12)/Datos!V12,(Datos!L12+Datos!AB12-(Datos!V12+Datos!AJ12))/(Datos!V12+Datos!AJ12))," - ")</f>
        <v>0.3007518796992481</v>
      </c>
      <c r="F12" s="472">
        <f>IF(ISNUMBER((Datos!M12-Datos!W12)/Datos!W12),(Datos!M12-Datos!W12)/Datos!W12," - ")</f>
        <v>-0.34375</v>
      </c>
      <c r="G12" s="473">
        <f>IF(ISNUMBER((Datos!N12-Datos!X12)/Datos!X12),(Datos!N12-Datos!X12)/Datos!X12," - ")</f>
        <v>-2.7027027027027029E-2</v>
      </c>
      <c r="H12" s="471">
        <f>IF(ISNUMBER(((NºAsuntos!G12/NºAsuntos!E12)-Datos!BD12)/Datos!BD12),((NºAsuntos!G12/NºAsuntos!E12)-Datos!BD12)/Datos!BD12," - ")</f>
        <v>-4.5560747663551483E-2</v>
      </c>
      <c r="I12" s="472">
        <f>IF(ISNUMBER(((NºAsuntos!I12/NºAsuntos!G12)-Datos!BE12)/Datos!BE12),((NºAsuntos!I12/NºAsuntos!G12)-Datos!BE12)/Datos!BE12," - ")</f>
        <v>0.46505738029283739</v>
      </c>
      <c r="J12" s="477">
        <f>IF(ISNUMBER((('Resol  Asuntos'!D12/NºAsuntos!G12)-Datos!BF12)/Datos!BF12),(('Resol  Asuntos'!D12/NºAsuntos!G12)-Datos!BF12)/Datos!BF12," - ")</f>
        <v>-0.36073968705547654</v>
      </c>
      <c r="K12" s="478">
        <f>IF(ISNUMBER((((NºAsuntos!C12+NºAsuntos!E12)/NºAsuntos!G12)-Datos!BG12)/Datos!BG12),(((NºAsuntos!C12+NºAsuntos!E12)/NºAsuntos!G12)-Datos!BG12)/Datos!BG12," - ")</f>
        <v>0.25771929824561407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0.34234234234234234</v>
      </c>
      <c r="C13" s="1001">
        <f>IF(ISNUMBER(
   IF(J_V="SI",(Datos!J13-Datos!T13)/Datos!T13,(Datos!J13+Datos!Z13-(Datos!T13+Datos!AH13))/(Datos!T13+Datos!AH13))
     ),IF(J_V="SI",(Datos!J13-Datos!T13)/Datos!T13,(Datos!J13+Datos!Z13-(Datos!T13+Datos!AH13))/(Datos!T13+Datos!AH13))," - ")</f>
        <v>-6.9767441860465115E-2</v>
      </c>
      <c r="D13" s="1001">
        <f>IF(ISNUMBER(
   IF(J_V="SI",(Datos!K13-Datos!U13)/Datos!U13,(Datos!K13+Datos!AA13-(Datos!U13+Datos!AI13))/(Datos!U13+Datos!AI13))
     ),IF(J_V="SI",(Datos!K13-Datos!U13)/Datos!U13,(Datos!K13+Datos!AA13-(Datos!U13+Datos!AI13))/(Datos!U13+Datos!AI13))," - ")</f>
        <v>-0.10280373831775701</v>
      </c>
      <c r="E13" s="1001">
        <f>IF(ISNUMBER(
   IF(J_V="SI",(Datos!L13-Datos!V13)/Datos!V13,(Datos!L13+Datos!AB13-(Datos!V13+Datos!AJ13))/(Datos!V13+Datos!AJ13))
     ),IF(J_V="SI",(Datos!L13-Datos!V13)/Datos!V13,(Datos!L13+Datos!AB13-(Datos!V13+Datos!AJ13))/(Datos!V13+Datos!AJ13))," - ")</f>
        <v>0.3007518796992481</v>
      </c>
      <c r="F13" s="1002">
        <f>IF(ISNUMBER((Datos!M13-Datos!W13)/Datos!W13),(Datos!M13-Datos!W13)/Datos!W13," - ")</f>
        <v>-0.3125</v>
      </c>
      <c r="G13" s="1003">
        <f>IF(ISNUMBER((Datos!N13-Datos!X13)/Datos!X13),(Datos!N13-Datos!X13)/Datos!X13," - ")</f>
        <v>-2.7027027027027029E-2</v>
      </c>
      <c r="H13" s="1003">
        <f>IF(ISNUMBER(((NºAsuntos!G13/NºAsuntos!E13)-Datos!BD13)/Datos!BD13),((NºAsuntos!G13/NºAsuntos!E13)-Datos!BD13)/Datos!BD13," - ")</f>
        <v>-3.5514018691588767E-2</v>
      </c>
      <c r="I13" s="1003">
        <f>IF(ISNUMBER(((NºAsuntos!I13/NºAsuntos!G13)-Datos!BE13)/Datos!BE13),((NºAsuntos!I13/NºAsuntos!G13)-Datos!BE13)/Datos!BE13," - ")</f>
        <v>0.44979636591478689</v>
      </c>
      <c r="J13" s="1003">
        <f>IF(ISNUMBER((('Resol  Asuntos'!D13/NºAsuntos!G13)-Datos!BF13)/Datos!BF13),(('Resol  Asuntos'!D13/NºAsuntos!G13)-Datos!BF13)/Datos!BF13," - ")</f>
        <v>-0.33727477477477474</v>
      </c>
      <c r="K13" s="1003">
        <f>IF(ISNUMBER((((NºAsuntos!C13+NºAsuntos!E13)/NºAsuntos!G13)-Datos!BG13)/Datos!BG13),(((NºAsuntos!C13+NºAsuntos!E13)/NºAsuntos!G13)-Datos!BG13)/Datos!BG13," - ")</f>
        <v>0.24926215277777794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1.1695906432748537E-2</v>
      </c>
      <c r="C16" s="472">
        <f>IF(ISNUMBER(
   IF(D_I="SI",(Datos!J16-Datos!T16)/Datos!T16,(Datos!J16+Datos!AD16-(Datos!T16+Datos!AL16))/(Datos!T16+Datos!AL16))
     ),IF(D_I="SI",(Datos!J16-Datos!T16)/Datos!T16,(Datos!J16+Datos!AD16-(Datos!T16+Datos!AL16))/(Datos!T16+Datos!AL16))," - ")</f>
        <v>-0.35023041474654376</v>
      </c>
      <c r="D16" s="472">
        <f>IF(ISNUMBER(
   IF(D_I="SI",(Datos!K16-Datos!U16)/Datos!U16,(Datos!K16+Datos!AE16-(Datos!U16+Datos!AM16))/(Datos!U16+Datos!AM16))
     ),IF(D_I="SI",(Datos!K16-Datos!U16)/Datos!U16,(Datos!K16+Datos!AE16-(Datos!U16+Datos!AM16))/(Datos!U16+Datos!AM16))," - ")</f>
        <v>-0.2275132275132275</v>
      </c>
      <c r="E16" s="472">
        <f>IF(ISNUMBER(
   IF(D_I="SI",(Datos!L16-Datos!V16)/Datos!V16,(Datos!L16+Datos!AF16-(Datos!V16+Datos!AN16))/(Datos!V16+Datos!AN16))
     ),IF(D_I="SI",(Datos!L16-Datos!V16)/Datos!V16,(Datos!L16+Datos!AF16-(Datos!V16+Datos!AN16))/(Datos!V16+Datos!AN16))," - ")</f>
        <v>-0.15577889447236182</v>
      </c>
      <c r="F16" s="472">
        <f>IF(ISNUMBER((Datos!M16-Datos!W16)/Datos!W16),(Datos!M16-Datos!W16)/Datos!W16," - ")</f>
        <v>-0.25</v>
      </c>
      <c r="G16" s="473">
        <f>IF(ISNUMBER((Datos!N16-Datos!X16)/Datos!X16),(Datos!N16-Datos!X16)/Datos!X16," - ")</f>
        <v>-0.17424242424242425</v>
      </c>
      <c r="H16" s="471">
        <f>IF(ISNUMBER(((NºAsuntos!G16/NºAsuntos!E16)-Datos!BD16)/Datos!BD16),((NºAsuntos!G16/NºAsuntos!E16)-Datos!BD16)/Datos!BD16," - ")</f>
        <v>0.18886262148673488</v>
      </c>
      <c r="I16" s="472">
        <f>IF(ISNUMBER(((NºAsuntos!I16/NºAsuntos!G16)-Datos!BE16)/Datos!BE16),((NºAsuntos!I16/NºAsuntos!G16)-Datos!BE16)/Datos!BE16," - ")</f>
        <v>9.2861568114545157E-2</v>
      </c>
      <c r="J16" s="477">
        <f>IF(ISNUMBER((('Resol  Asuntos'!D16/NºAsuntos!G16)-Datos!BF16)/Datos!BF16),(('Resol  Asuntos'!D16/NºAsuntos!G16)-Datos!BF16)/Datos!BF16," - ")</f>
        <v>-2.9109589041095889E-2</v>
      </c>
      <c r="K16" s="478">
        <f>IF(ISNUMBER((((NºAsuntos!C16+NºAsuntos!E16)/NºAsuntos!G16)-Datos!BG16)/Datos!BG16),(((NºAsuntos!C16+NºAsuntos!E16)/NºAsuntos!G16)-Datos!BG16)/Datos!BG16," - ")</f>
        <v>4.7627453749470437E-2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-0.7142857142857143</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-0.95238095238095233</v>
      </c>
      <c r="F17" s="472" t="str">
        <f>IF(ISNUMBER((Datos!M17-Datos!W17)/Datos!W17),(Datos!M17-Datos!W17)/Datos!W17," - ")</f>
        <v xml:space="preserve"> - </v>
      </c>
      <c r="G17" s="473">
        <f>IF(ISNUMBER((Datos!N17-Datos!X17)/Datos!X17),(Datos!N17-Datos!X17)/Datos!X17," - ")</f>
        <v>0</v>
      </c>
      <c r="H17" s="471" t="str">
        <f>IF(ISNUMBER(((NºAsuntos!G17/NºAsuntos!E17)-Datos!BD17)/Datos!BD17),((NºAsuntos!G17/NºAsuntos!E17)-Datos!BD17)/Datos!BD17," - ")</f>
        <v xml:space="preserve"> - </v>
      </c>
      <c r="I17" s="472">
        <f>IF(ISNUMBER(((NºAsuntos!I17/NºAsuntos!G17)-Datos!BE17)/Datos!BE17),((NºAsuntos!I17/NºAsuntos!G17)-Datos!BE17)/Datos!BE17," - ")</f>
        <v>-0.92063492063492058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-0.74358974358974361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-4.3243243243243246E-2</v>
      </c>
      <c r="C18" s="1001">
        <f>IF(ISNUMBER(
   IF(Criterios!B14="SI",(Datos!J18-Datos!T18)/Datos!T18,(Datos!J18+Datos!AD18-(Datos!T18+Datos!AL18))/(Datos!T18+Datos!AL18))
     ),IF(Criterios!B14="SI",(Datos!J18-Datos!T18)/Datos!T18,(Datos!J18+Datos!AD18-(Datos!T18+Datos!AL18))/(Datos!T18+Datos!AL18))," - ")</f>
        <v>-0.38427947598253276</v>
      </c>
      <c r="D18" s="1001">
        <f>IF(ISNUMBER(
   IF(Criterios!B14="SI",(Datos!K18-Datos!U18)/Datos!U18,(Datos!K18+Datos!AE18-(Datos!U18+Datos!AM18))/(Datos!U18+Datos!AM18))
     ),IF(Criterios!B14="SI",(Datos!K18-Datos!U18)/Datos!U18,(Datos!K18+Datos!AE18-(Datos!U18+Datos!AM18))/(Datos!U18+Datos!AM18))," - ")</f>
        <v>-0.23195876288659795</v>
      </c>
      <c r="E18" s="1001">
        <f>IF(ISNUMBER(
   IF(Criterios!B14="SI",(Datos!L18-Datos!V18)/Datos!V18,(Datos!L18+Datos!AF18-(Datos!V18+Datos!AN18))/(Datos!V18+Datos!AN18))
     ),IF(Criterios!B14="SI",(Datos!L18-Datos!V18)/Datos!V18,(Datos!L18+Datos!AF18-(Datos!V18+Datos!AN18))/(Datos!V18+Datos!AN18))," - ")</f>
        <v>-0.23181818181818181</v>
      </c>
      <c r="F18" s="1002">
        <f>IF(ISNUMBER((Datos!M18-Datos!W18)/Datos!W18),(Datos!M18-Datos!W18)/Datos!W18," - ")</f>
        <v>-0.25</v>
      </c>
      <c r="G18" s="1003">
        <f>IF(ISNUMBER((Datos!N18-Datos!X18)/Datos!X18),(Datos!N18-Datos!X18)/Datos!X18," - ")</f>
        <v>-0.17164179104477612</v>
      </c>
      <c r="H18" s="1003">
        <f>IF(ISNUMBER(((NºAsuntos!G18/NºAsuntos!E18)-Datos!BD18)/Datos!BD18),((NºAsuntos!G18/NºAsuntos!E18)-Datos!BD18)/Datos!BD18," - ")</f>
        <v>0.24738612268772406</v>
      </c>
      <c r="I18" s="1003">
        <f>IF(ISNUMBER(((NºAsuntos!I18/NºAsuntos!G18)-Datos!BE18)/Datos!BE18),((NºAsuntos!I18/NºAsuntos!G18)-Datos!BE18)/Datos!BE18," - ")</f>
        <v>1.8303843807204834E-4</v>
      </c>
      <c r="J18" s="1003">
        <f>IF(ISNUMBER((('Resol  Asuntos'!D18/NºAsuntos!G18)-Datos!BF18)/Datos!BF18),(('Resol  Asuntos'!D18/NºAsuntos!G18)-Datos!BF18)/Datos!BF18," - ")</f>
        <v>-2.3489932885906086E-2</v>
      </c>
      <c r="K18" s="1003">
        <f>IF(ISNUMBER((((NºAsuntos!C18+NºAsuntos!E18)/NºAsuntos!G18)-Datos!BG18)/Datos!BG18),(((NºAsuntos!C18+NºAsuntos!E18)/NºAsuntos!G18)-Datos!BG18)/Datos!BG18," - ")</f>
        <v>9.7266802840114877E-5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0.10135135135135136</v>
      </c>
      <c r="C19" s="948">
        <f>IF(ISNUMBER(
   IF(J_V="SI",(Datos!J19-Datos!T19)/Datos!T19,(Datos!J19+Datos!Z19-(Datos!T19+Datos!AH19))/(Datos!T19+Datos!AH19))
     ),IF(J_V="SI",(Datos!J19-Datos!T19)/Datos!T19,(Datos!J19+Datos!Z19-(Datos!T19+Datos!AH19))/(Datos!T19+Datos!AH19))," - ")</f>
        <v>-0.27094972067039108</v>
      </c>
      <c r="D19" s="948">
        <f>IF(ISNUMBER(
   IF(J_V="SI",(Datos!K19-Datos!U19)/Datos!U19,(Datos!K19+Datos!AA19-(Datos!U19+Datos!AI19))/(Datos!U19+Datos!AI19))
     ),IF(J_V="SI",(Datos!K19-Datos!U19)/Datos!U19,(Datos!K19+Datos!AA19-(Datos!U19+Datos!AI19))/(Datos!U19+Datos!AI19))," - ")</f>
        <v>-0.18604651162790697</v>
      </c>
      <c r="E19" s="948">
        <f>IF(ISNUMBER(
   IF(J_V="SI",(Datos!L19-Datos!V19)/Datos!V19,(Datos!L19+Datos!AB19-(Datos!V19+Datos!AJ19))/(Datos!V19+Datos!AJ19))
     ),IF(J_V="SI",(Datos!L19-Datos!V19)/Datos!V19,(Datos!L19+Datos!AB19-(Datos!V19+Datos!AJ19))/(Datos!V19+Datos!AJ19))," - ")</f>
        <v>-3.1161473087818695E-2</v>
      </c>
      <c r="F19" s="949">
        <f>IF(ISNUMBER((Datos!M19-Datos!W19)/Datos!W19),(Datos!M19-Datos!W19)/Datos!W19," - ")</f>
        <v>-0.29166666666666669</v>
      </c>
      <c r="G19" s="950">
        <f>IF(ISNUMBER((Datos!N19-Datos!X19)/Datos!X19),(Datos!N19-Datos!X19)/Datos!X19," - ")</f>
        <v>-0.14035087719298245</v>
      </c>
      <c r="H19" s="951">
        <f>IF(ISNUMBER((Tasas!B19-Datos!BD19)/Datos!BD19),(Tasas!B19-Datos!BD19)/Datos!BD19," - ")</f>
        <v>0.11645727523834982</v>
      </c>
      <c r="I19" s="952">
        <f>IF(ISNUMBER((Tasas!C19-Datos!BE19)/Datos!BE19),(Tasas!C19-Datos!BE19)/Datos!BE19," - ")</f>
        <v>0.19028733306353707</v>
      </c>
      <c r="J19" s="953">
        <f>IF(ISNUMBER((Tasas!D19-Datos!BF19)/Datos!BF19),(Tasas!D19-Datos!BF19)/Datos!BF19," - ")</f>
        <v>-0.21185983827493257</v>
      </c>
      <c r="K19" s="953">
        <f>IF(ISNUMBER((Tasas!E19-Datos!BG19)/Datos!BG19),(Tasas!E19-Datos!BG19)/Datos!BG19," - ")</f>
        <v>0.10270860637833119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oKvW8e81pb5Dl6iMyQ43X3fKy3Y7RaOo7OaenJAspKX2vSHtOxRDBmtLjUqO/aOvJuFmmufTfoTpNrNoOZLhw==" saltValue="Imjpk7DMCG5TQTjtEghr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CANGAS DEL NARCEA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0.79166666666666663</v>
      </c>
      <c r="C12" s="459">
        <f>IF(ISNUMBER(NºAsuntos!I12/NºAsuntos!G12),NºAsuntos!I12/NºAsuntos!G12," - ")</f>
        <v>1.8210526315789475</v>
      </c>
      <c r="D12" s="460">
        <f>IF(ISNUMBER('Resol  Asuntos'!D12/NºAsuntos!G12),'Resol  Asuntos'!D12/NºAsuntos!G12," - ")</f>
        <v>0.22105263157894736</v>
      </c>
      <c r="E12" s="461">
        <f>IF(ISNUMBER((NºAsuntos!C12+NºAsuntos!E12)/NºAsuntos!G12),(NºAsuntos!C12+NºAsuntos!E12)/NºAsuntos!G12," - ")</f>
        <v>2.8210526315789473</v>
      </c>
      <c r="G12" s="479"/>
    </row>
    <row r="13" spans="1:7" ht="14.25" thickTop="1" thickBot="1">
      <c r="A13" s="994" t="str">
        <f>Datos!A13</f>
        <v>TOTAL</v>
      </c>
      <c r="B13" s="1004">
        <f>IF(ISNUMBER(NºAsuntos!G13/NºAsuntos!E13),NºAsuntos!G13/NºAsuntos!E13," - ")</f>
        <v>0.8</v>
      </c>
      <c r="C13" s="1005">
        <f>IF(ISNUMBER(NºAsuntos!I13/NºAsuntos!G13),NºAsuntos!I13/NºAsuntos!G13," - ")</f>
        <v>1.8020833333333333</v>
      </c>
      <c r="D13" s="1006">
        <f>IF(ISNUMBER('Resol  Asuntos'!D13/NºAsuntos!G13),'Resol  Asuntos'!D13/NºAsuntos!G13," - ")</f>
        <v>0.22916666666666666</v>
      </c>
      <c r="E13" s="1007">
        <f>IF(ISNUMBER((NºAsuntos!C13+NºAsuntos!E13)/NºAsuntos!G13),(NºAsuntos!C13+NºAsuntos!E13)/NºAsuntos!G13," - ")</f>
        <v>2.8020833333333335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1.0354609929078014</v>
      </c>
      <c r="C16" s="459">
        <f>IF(ISNUMBER(NºAsuntos!I16/NºAsuntos!G16),NºAsuntos!I16/NºAsuntos!G16," - ")</f>
        <v>1.1506849315068493</v>
      </c>
      <c r="D16" s="460">
        <f>IF(ISNUMBER('Resol  Asuntos'!D16/NºAsuntos!G16),'Resol  Asuntos'!D16/NºAsuntos!G16," - ")</f>
        <v>8.2191780821917804E-2</v>
      </c>
      <c r="E16" s="461">
        <f>IF(ISNUMBER((NºAsuntos!C16+NºAsuntos!E16)/NºAsuntos!G16),(NºAsuntos!C16+NºAsuntos!E16)/NºAsuntos!G16," - ")</f>
        <v>2.1506849315068495</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0.33333333333333331</v>
      </c>
      <c r="D17" s="460">
        <f>IF(ISNUMBER('Resol  Asuntos'!D17/NºAsuntos!G17),'Resol  Asuntos'!D17/NºAsuntos!G17," - ")</f>
        <v>0</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1.0567375886524824</v>
      </c>
      <c r="C18" s="1005">
        <f>IF(ISNUMBER(NºAsuntos!I18/NºAsuntos!G18),NºAsuntos!I18/NºAsuntos!G18," - ")</f>
        <v>1.1342281879194631</v>
      </c>
      <c r="D18" s="1008">
        <f>IF(ISNUMBER('Resol  Asuntos'!D18/NºAsuntos!G18),'Resol  Asuntos'!D18/NºAsuntos!G18," - ")</f>
        <v>8.0536912751677847E-2</v>
      </c>
      <c r="E18" s="1007">
        <f>IF(ISNUMBER((NºAsuntos!C18+NºAsuntos!E18)/NºAsuntos!G18),(NºAsuntos!C18+NºAsuntos!E18)/NºAsuntos!G18," - ")</f>
        <v>2.1342281879194629</v>
      </c>
      <c r="G18" s="479"/>
    </row>
    <row r="19" spans="1:7" ht="15.75" customHeight="1" thickTop="1" thickBot="1">
      <c r="A19" s="939" t="str">
        <f>Datos!A19</f>
        <v>TOTAL JURISDICCIONES</v>
      </c>
      <c r="B19" s="954">
        <f>IF(ISNUMBER(NºAsuntos!G19/NºAsuntos!E19),NºAsuntos!G19/NºAsuntos!E19," - ")</f>
        <v>0.93869731800766287</v>
      </c>
      <c r="C19" s="955">
        <f>IF(ISNUMBER(NºAsuntos!I19/NºAsuntos!G19),NºAsuntos!I19/NºAsuntos!G19," - ")</f>
        <v>1.3959183673469389</v>
      </c>
      <c r="D19" s="956">
        <f>IF(ISNUMBER('Resol  Asuntos'!D19/NºAsuntos!G19),'Resol  Asuntos'!D19/NºAsuntos!G19," - ")</f>
        <v>0.13877551020408163</v>
      </c>
      <c r="E19" s="957">
        <f>IF(ISNUMBER((NºAsuntos!C19+NºAsuntos!E19)/NºAsuntos!G19),(NºAsuntos!C19+NºAsuntos!E19)/NºAsuntos!G19," - ")</f>
        <v>2.3959183673469386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tjNphCF4gO8rVLoiGc2/9/Lo83DULGUIWw9KA6ngrIhfGLRSPV90MDUX4mxXbNsbpRLupSosVyz69L8PF8ymA==" saltValue="lgYK/gJNep2YOQjaMtke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CANGAS DEL NARCEA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45</v>
      </c>
      <c r="Y12" s="343">
        <f t="shared" si="0"/>
        <v>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0.79166666666666663</v>
      </c>
      <c r="AM12" s="264">
        <f>IF(ISNUMBER(((NºAsuntos!I12/NºAsuntos!G12)*11)/factor_trimestre),((NºAsuntos!I12/NºAsuntos!G12)*11)/factor_trimestre," - ")</f>
        <v>5.4631578947368427</v>
      </c>
      <c r="AN12" s="248">
        <f>IF(ISNUMBER('Resol  Asuntos'!D12/NºAsuntos!G12),'Resol  Asuntos'!D12/NºAsuntos!G12," - ")</f>
        <v>0.22105263157894736</v>
      </c>
      <c r="AO12" s="249">
        <f>IF(ISNUMBER((NºAsuntos!C12+NºAsuntos!E12)/NºAsuntos!G12),(NºAsuntos!C12+NºAsuntos!E12)/NºAsuntos!G12," - ")</f>
        <v>2.8210526315789473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45</v>
      </c>
      <c r="Y13" s="1014">
        <f t="shared" si="4"/>
        <v>46</v>
      </c>
      <c r="Z13" s="1014">
        <f t="shared" si="4"/>
        <v>0</v>
      </c>
      <c r="AA13" s="1014">
        <f t="shared" si="4"/>
        <v>0</v>
      </c>
      <c r="AB13" s="1014">
        <f t="shared" si="4"/>
        <v>425</v>
      </c>
      <c r="AC13" s="1014">
        <f t="shared" si="4"/>
        <v>0</v>
      </c>
      <c r="AD13" s="1014">
        <f t="shared" si="4"/>
        <v>0</v>
      </c>
      <c r="AE13" s="1018">
        <f t="shared" si="4"/>
        <v>0</v>
      </c>
      <c r="AF13" s="1011">
        <f t="shared" si="4"/>
        <v>0</v>
      </c>
      <c r="AG13" s="1019">
        <f t="shared" si="4"/>
        <v>0</v>
      </c>
      <c r="AH13" s="1016">
        <f t="shared" si="4"/>
        <v>0</v>
      </c>
      <c r="AI13" s="1011">
        <f t="shared" si="4"/>
        <v>22</v>
      </c>
      <c r="AJ13" s="1013">
        <f t="shared" si="4"/>
        <v>0</v>
      </c>
      <c r="AK13" s="1016">
        <f>SUBTOTAL(9,AK9:AK12)</f>
        <v>0</v>
      </c>
      <c r="AL13" s="1020">
        <f>IF(ISNUMBER(NºAsuntos!G13/NºAsuntos!E13),NºAsuntos!G13/NºAsuntos!E13," - ")</f>
        <v>0.8</v>
      </c>
      <c r="AM13" s="1020">
        <f>IF(ISNUMBER(((NºAsuntos!I13/NºAsuntos!G13)*11)/factor_trimestre),((NºAsuntos!I13/NºAsuntos!G13)*11)/factor_trimestre," - ")</f>
        <v>5.40625</v>
      </c>
      <c r="AN13" s="1021">
        <f>IF(ISNUMBER('Resol  Asuntos'!D13/NºAsuntos!G13),'Resol  Asuntos'!D13/NºAsuntos!G13," - ")</f>
        <v>0.22916666666666666</v>
      </c>
      <c r="AO13" s="1022">
        <f>IF(ISNUMBER((NºAsuntos!C13+NºAsuntos!E13)/NºAsuntos!G13),(NºAsuntos!C13+NºAsuntos!E13)/NºAsuntos!G13," - ")</f>
        <v>2.8020833333333335</v>
      </c>
      <c r="AP13" s="1023" t="str">
        <f t="shared" si="2"/>
        <v xml:space="preserve"> - </v>
      </c>
      <c r="AQ13" s="1023">
        <f>IF(ISNUMBER((H13-W13+K13)/(F13)),(H13-W13+K13)/(F13)," - ")</f>
        <v>-1</v>
      </c>
      <c r="AR13" s="1024">
        <f>IF(ISNUMBER((Datos!P13-Datos!Q13)/(Datos!R13-Datos!P13+Datos!Q13)),(Datos!P13-Datos!Q13)/(Datos!R13-Datos!P13+Datos!Q13)," - ")</f>
        <v>-3.8461538461538464E-2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173</v>
      </c>
      <c r="G16" s="342">
        <f>IF(ISNUMBER(IF(D_I="SI",Datos!I16,Datos!I16+Datos!AC16)),IF(D_I="SI",Datos!I16,Datos!I16+Datos!AC16)," - ")</f>
        <v>173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146</v>
      </c>
      <c r="X16" s="230">
        <f>IF(ISNUMBER(Datos!Q16),Datos!Q16," - ")</f>
        <v>4</v>
      </c>
      <c r="Y16" s="343">
        <f t="shared" ref="Y16:Y17" si="7">SUM(W16:X16)</f>
        <v>150</v>
      </c>
      <c r="Z16" s="344" t="str">
        <f>IF(ISNUMBER(Datos!CC16),Datos!CC16," - ")</f>
        <v xml:space="preserve"> - </v>
      </c>
      <c r="AA16" s="341">
        <f>IF(ISNUMBER(IF(D_I="SI",Datos!L16,Datos!L16+Datos!AF16)),IF(D_I="SI",Datos!L16,Datos!L16+Datos!AF16)," - ")</f>
        <v>168</v>
      </c>
      <c r="AB16" s="343">
        <f>IF(ISNUMBER(Datos!R16),Datos!R16," - ")</f>
        <v>16</v>
      </c>
      <c r="AC16" s="343">
        <f t="shared" si="6"/>
        <v>184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1.0354609929078014</v>
      </c>
      <c r="AM16" s="264">
        <f>IF(ISNUMBER(((NºAsuntos!I16/NºAsuntos!G16)*11)/factor_trimestre),((NºAsuntos!I16/NºAsuntos!G16)*11)/factor_trimestre," - ")</f>
        <v>3.452054794520548</v>
      </c>
      <c r="AN16" s="248">
        <f>IF(ISNUMBER('Resol  Asuntos'!D16/NºAsuntos!G16),'Resol  Asuntos'!D16/NºAsuntos!G16," - ")</f>
        <v>8.2191780821917804E-2</v>
      </c>
      <c r="AO16" s="249">
        <f>IF(ISNUMBER((NºAsuntos!C16+NºAsuntos!E16)/NºAsuntos!G16),(NºAsuntos!C16+NºAsuntos!E16)/NºAsuntos!G16," - ")</f>
        <v>2.1506849315068495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1</v>
      </c>
      <c r="AN17" s="248">
        <f>IF(ISNUMBER('Resol  Asuntos'!D17/NºAsuntos!G17),'Resol  Asuntos'!D17/NºAsuntos!G17," - ")</f>
        <v>0</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173</v>
      </c>
      <c r="G18" s="1012">
        <f>SUBTOTAL(9,G15:G17)</f>
        <v>177</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149</v>
      </c>
      <c r="X18" s="1013">
        <f t="shared" si="11"/>
        <v>4</v>
      </c>
      <c r="Y18" s="1014">
        <f t="shared" si="11"/>
        <v>153</v>
      </c>
      <c r="Z18" s="1014">
        <f t="shared" si="11"/>
        <v>0</v>
      </c>
      <c r="AA18" s="1014">
        <f t="shared" si="11"/>
        <v>169</v>
      </c>
      <c r="AB18" s="1014">
        <f t="shared" si="11"/>
        <v>16</v>
      </c>
      <c r="AC18" s="1014">
        <f t="shared" si="11"/>
        <v>185</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1.0567375886524824</v>
      </c>
      <c r="AM18" s="1020">
        <f>IF(ISNUMBER(((NºAsuntos!I18/NºAsuntos!G18)*11)/factor_trimestre),((NºAsuntos!I18/NºAsuntos!G18)*11)/factor_trimestre," - ")</f>
        <v>3.4026845637583896</v>
      </c>
      <c r="AN18" s="1021">
        <f>IF(ISNUMBER('Resol  Asuntos'!D18/NºAsuntos!G18),'Resol  Asuntos'!D18/NºAsuntos!G18," - ")</f>
        <v>8.0536912751677847E-2</v>
      </c>
      <c r="AO18" s="1022">
        <f>IF(ISNUMBER((NºAsuntos!C18+NºAsuntos!E18)/NºAsuntos!G18),(NºAsuntos!C18+NºAsuntos!E18)/NºAsuntos!G18," - ")</f>
        <v>2.1342281879194629</v>
      </c>
      <c r="AP18" s="1023" t="str">
        <f t="shared" si="2"/>
        <v xml:space="preserve"> - </v>
      </c>
      <c r="AQ18" s="1023">
        <f>IF(ISNUMBER((H18-W18+K18)/(F18)),(H18-W18+K18)/(F18)," - ")</f>
        <v>-0.86127167630057799</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174</v>
      </c>
      <c r="G19" s="967">
        <f t="shared" si="13"/>
        <v>178</v>
      </c>
      <c r="H19" s="966">
        <f t="shared" si="13"/>
        <v>0</v>
      </c>
      <c r="I19" s="968">
        <f t="shared" si="13"/>
        <v>0</v>
      </c>
      <c r="J19" s="968">
        <f t="shared" si="13"/>
        <v>0</v>
      </c>
      <c r="K19" s="1027">
        <f t="shared" si="13"/>
        <v>0</v>
      </c>
      <c r="L19" s="968">
        <f t="shared" si="13"/>
        <v>30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150</v>
      </c>
      <c r="X19" s="967">
        <f t="shared" si="14"/>
        <v>49</v>
      </c>
      <c r="Y19" s="974">
        <f t="shared" si="14"/>
        <v>199</v>
      </c>
      <c r="Z19" s="974">
        <f t="shared" si="14"/>
        <v>0</v>
      </c>
      <c r="AA19" s="974">
        <f t="shared" si="14"/>
        <v>169</v>
      </c>
      <c r="AB19" s="974">
        <f t="shared" si="14"/>
        <v>441</v>
      </c>
      <c r="AC19" s="974">
        <f t="shared" si="14"/>
        <v>185</v>
      </c>
      <c r="AD19" s="974">
        <f t="shared" si="14"/>
        <v>0</v>
      </c>
      <c r="AE19" s="976">
        <f t="shared" si="14"/>
        <v>0</v>
      </c>
      <c r="AF19" s="977">
        <f t="shared" si="14"/>
        <v>0</v>
      </c>
      <c r="AG19" s="978">
        <f t="shared" si="14"/>
        <v>0</v>
      </c>
      <c r="AH19" s="976">
        <f t="shared" si="14"/>
        <v>0</v>
      </c>
      <c r="AI19" s="966">
        <f t="shared" si="14"/>
        <v>34</v>
      </c>
      <c r="AJ19" s="966">
        <f t="shared" si="14"/>
        <v>0</v>
      </c>
      <c r="AK19" s="976">
        <f t="shared" si="14"/>
        <v>0</v>
      </c>
      <c r="AL19" s="1030">
        <f>IF(ISNUMBER(NºAsuntos!G19/NºAsuntos!E19),NºAsuntos!G19/NºAsuntos!E19," - ")</f>
        <v>0.93869731800766287</v>
      </c>
      <c r="AM19" s="1031">
        <f>IF(ISNUMBER(((NºAsuntos!I19/NºAsuntos!G19)*11)/factor_trimestre),((NºAsuntos!I19/NºAsuntos!G19)*11)/factor_trimestre," - ")</f>
        <v>4.1877551020408168</v>
      </c>
      <c r="AN19" s="1031">
        <f>IF(ISNUMBER('Resol  Asuntos'!D19/NºAsuntos!G19),'Resol  Asuntos'!D19/NºAsuntos!G19," - ")</f>
        <v>0.13877551020408163</v>
      </c>
      <c r="AO19" s="1032">
        <f>IF(ISNUMBER((NºAsuntos!C19+NºAsuntos!E19)/NºAsuntos!G19),(NºAsuntos!C19+NºAsuntos!E19)/NºAsuntos!G19," - ")</f>
        <v>2.3959183673469386</v>
      </c>
      <c r="AP19" s="1033" t="str">
        <f t="shared" si="2"/>
        <v xml:space="preserve"> - </v>
      </c>
      <c r="AQ19" s="1034">
        <f>IF(OR(ISNUMBER(FIND("01",Criterios!A8,1)),ISNUMBER(FIND("02",Criterios!A8,1)),ISNUMBER(FIND("03",Criterios!A8,1)),ISNUMBER(FIND("04",Criterios!A8,1))),(I19-W19+K19)/(F19-K19),(H19-W19+K19)/(F19-K19))</f>
        <v>-0.86206896551724133</v>
      </c>
      <c r="AR19" s="1035">
        <f>IF(ISNUMBER((Datos!P19-Datos!Q19)/(Datos!R19-Datos!P19+Datos!Q19)),(Datos!P19-Datos!Q19)/(Datos!R19-Datos!P19+Datos!Q19)," - ")</f>
        <v>-4.1304347826086954E-2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99.304246300615631</v>
      </c>
      <c r="G21" s="257">
        <f>IF(ISNUMBER(STDEV(G8:G18)),STDEV(G8:G18),"-")</f>
        <v>94.774469135943988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79.887420787005013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9.41629792788369</v>
      </c>
      <c r="AJ21" s="256">
        <f t="shared" si="18"/>
        <v>0</v>
      </c>
      <c r="AK21" s="258">
        <f t="shared" si="18"/>
        <v>0</v>
      </c>
      <c r="AL21" s="253">
        <f t="shared" si="18"/>
        <v>0.14479194089247691</v>
      </c>
      <c r="AM21" s="254">
        <f t="shared" si="18"/>
        <v>2.2421550376680481</v>
      </c>
      <c r="AN21" s="254">
        <f t="shared" si="18"/>
        <v>0.36905910262099439</v>
      </c>
      <c r="AO21" s="255">
        <f t="shared" si="18"/>
        <v>0.74738501255601431</v>
      </c>
      <c r="AP21" s="295" t="str">
        <f t="shared" si="18"/>
        <v>-</v>
      </c>
      <c r="AQ21" s="296">
        <f t="shared" si="18"/>
        <v>9.8095738430503732E-2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v07ipERGh1GOQ/3nSTDT1gVNOAAUDuQeeVYHNhyWQlBV9moD1q8Jan+unoxnVsurA1riulioOF3Otq35tqdAA==" saltValue="WHeSey3whWeAQlbpaKs3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CANGAS DEL NARCEA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-0.34375</v>
      </c>
      <c r="I12" s="359">
        <f>IF(ISNUMBER((Tasas!C12-Datos!BE12)/Datos!BE12),(Tasas!C12-Datos!BE12)/Datos!BE12," - ")</f>
        <v>0.46505738029283739</v>
      </c>
      <c r="J12" s="358">
        <f>IF(ISNUMBER((Tasas!D12-Datos!BF12)/Datos!BF12),(Tasas!D12-Datos!BF12)/Datos!BF12," - ")</f>
        <v>-0.36073968705547654</v>
      </c>
      <c r="K12" s="360">
        <f>IF(ISNUMBER((Tasas!E12-Datos!BG12)/Datos!BG12),(Tasas!E12-Datos!BG12)/Datos!BG12," - ")</f>
        <v>0.25771929824561407</v>
      </c>
      <c r="M12" t="e">
        <f>IF(Monitorios="SI",Datos!CE12,0)</f>
        <v>#REF!</v>
      </c>
      <c r="N12" t="e">
        <f>IF(Monitorios="SI",Datos!CF12,0)</f>
        <v>#REF!</v>
      </c>
      <c r="O12" t="e">
        <f>IF(Monitorios="SI",Datos!CG12,0)</f>
        <v>#REF!</v>
      </c>
      <c r="P12" t="e">
        <f>IF(Monitorios="SI",Datos!CH12,0)</f>
        <v>#REF!</v>
      </c>
      <c r="Q12">
        <f>IF(J_V="SI",0,Datos!AG12)</f>
        <v>0</v>
      </c>
      <c r="R12">
        <f>IF(J_V="SI",0,Datos!AH12)</f>
        <v>18</v>
      </c>
      <c r="S12">
        <f>IF(J_V="SI",0,Datos!AI12)</f>
        <v>11</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-0.3125</v>
      </c>
      <c r="I13" s="366">
        <f>IF(ISNUMBER((Tasas!C13-Datos!BE13)/Datos!BE13),(Tasas!C13-Datos!BE13)/Datos!BE13," - ")</f>
        <v>0.44979636591478689</v>
      </c>
      <c r="J13" s="364">
        <f>IF(ISNUMBER((Tasas!D13-Datos!BF13)/Datos!BF13),(Tasas!D13-Datos!BF13)/Datos!BF13," - ")</f>
        <v>-0.33727477477477474</v>
      </c>
      <c r="K13" s="367">
        <f>IF(ISNUMBER((Tasas!E13-Datos!BG13)/Datos!BG13),(Tasas!E13-Datos!BG13)/Datos!BG13," - ")</f>
        <v>0.24926215277777794</v>
      </c>
      <c r="M13" t="e">
        <f>IF(Monitorios="SI",Datos!CE13,0)</f>
        <v>#REF!</v>
      </c>
      <c r="N13" t="e">
        <f>IF(Monitorios="SI",Datos!CF13,0)</f>
        <v>#REF!</v>
      </c>
      <c r="O13" t="e">
        <f>IF(Monitorios="SI",Datos!CG13,0)</f>
        <v>#REF!</v>
      </c>
      <c r="P13" t="e">
        <f>IF(Monitorios="SI",Datos!CH13,0)</f>
        <v>#REF!</v>
      </c>
      <c r="Q13">
        <f>IF(J_V="SI",0,Datos!AG13)</f>
        <v>0</v>
      </c>
      <c r="R13">
        <f>IF(J_V="SI",0,Datos!AH13)</f>
        <v>18</v>
      </c>
      <c r="S13">
        <f>IF(J_V="SI",0,Datos!AI13)</f>
        <v>11</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1.1695906432748537E-2</v>
      </c>
      <c r="E16" s="357">
        <f>IF(ISNUMBER(
   IF(D_I="SI",(Datos!J16-Datos!T16)/Datos!T16,(Datos!J16+Datos!AD16-(Datos!T16+Datos!AL16))/(Datos!T16+Datos!AL16))
     ),IF(D_I="SI",(Datos!J16-Datos!T16)/Datos!T16,(Datos!J16+Datos!AD16-(Datos!T16+Datos!AL16))/(Datos!T16+Datos!AL16))," - ")</f>
        <v>-0.35023041474654376</v>
      </c>
      <c r="F16" s="357">
        <f>IF(ISNUMBER(
   IF(D_I="SI",(Datos!K16-Datos!U16)/Datos!U16,(Datos!K16+Datos!AE16-(Datos!U16+Datos!AM16))/(Datos!U16+Datos!AM16))
     ),IF(D_I="SI",(Datos!K16-Datos!U16)/Datos!U16,(Datos!K16+Datos!AE16-(Datos!U16+Datos!AM16))/(Datos!U16+Datos!AM16))," - ")</f>
        <v>-0.2275132275132275</v>
      </c>
      <c r="G16" s="358">
        <f>IF(ISNUMBER(
   IF(D_I="SI",(Datos!L16-Datos!V16)/Datos!V16,(Datos!L16+Datos!AF16-(Datos!V16+Datos!AN16))/(Datos!V16+Datos!AN16))
     ),IF(D_I="SI",(Datos!L16-Datos!V16)/Datos!V16,(Datos!L16+Datos!AF16-(Datos!V16+Datos!AN16))/(Datos!V16+Datos!AN16))," - ")</f>
        <v>-0.15577889447236182</v>
      </c>
      <c r="H16" s="234">
        <f>IF(ISNUMBER((Datos!M16-Datos!W16)/Datos!W16),(Datos!M16-Datos!W16)/Datos!W16," - ")</f>
        <v>-0.25</v>
      </c>
      <c r="I16" s="359">
        <f>IF(ISNUMBER((Tasas!C16-Datos!BE16)/Datos!BE16),(Tasas!C16-Datos!BE16)/Datos!BE16," - ")</f>
        <v>9.2861568114545157E-2</v>
      </c>
      <c r="J16" s="358">
        <f>IF(ISNUMBER((Tasas!D16-Datos!BF16)/Datos!BF16),(Tasas!D16-Datos!BF16)/Datos!BF16," - ")</f>
        <v>-2.9109589041095889E-2</v>
      </c>
      <c r="K16" s="360">
        <f>IF(ISNUMBER((Tasas!E16-Datos!BG16)/Datos!BG16),(Tasas!E16-Datos!BG16)/Datos!BG16," - ")</f>
        <v>4.7627453749470437E-2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-0.7142857142857143</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-0.95238095238095233</v>
      </c>
      <c r="H17" s="234" t="str">
        <f>IF(ISNUMBER((Datos!M17-Datos!W17)/Datos!W17),(Datos!M17-Datos!W17)/Datos!W17," - ")</f>
        <v xml:space="preserve"> - </v>
      </c>
      <c r="I17" s="359">
        <f>IF(ISNUMBER((Tasas!C17-Datos!BE17)/Datos!BE17),(Tasas!C17-Datos!BE17)/Datos!BE17," - ")</f>
        <v>-0.92063492063492058</v>
      </c>
      <c r="J17" s="358" t="str">
        <f>IF(ISNUMBER((Tasas!D17-Datos!BF17)/Datos!BF17),(Tasas!D17-Datos!BF17)/Datos!BF17," - ")</f>
        <v xml:space="preserve"> - </v>
      </c>
      <c r="K17" s="360">
        <f>IF(ISNUMBER((Tasas!E17-Datos!BG17)/Datos!BG17),(Tasas!E17-Datos!BG17)/Datos!BG17," - ")</f>
        <v>-0.74358974358974361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-4.3243243243243246E-2</v>
      </c>
      <c r="E18" s="363">
        <f>IF(ISNUMBER(
   IF(D_I="SI",(Datos!J18-Datos!T18)/Datos!T18,(Datos!J18+Datos!AD18-(Datos!T18+Datos!AL18))/(Datos!T18+Datos!AL18))
     ),IF(D_I="SI",(Datos!J18-Datos!T18)/Datos!T18,(Datos!J18+Datos!AD18-(Datos!T18+Datos!AL18))/(Datos!T18+Datos!AL18))," - ")</f>
        <v>-0.38427947598253276</v>
      </c>
      <c r="F18" s="363">
        <f>IF(ISNUMBER(
   IF(D_I="SI",(Datos!K18-Datos!U18)/Datos!U18,(Datos!K18+Datos!AE18-(Datos!U18+Datos!AM18))/(Datos!U18+Datos!AM18))
     ),IF(D_I="SI",(Datos!K18-Datos!U18)/Datos!U18,(Datos!K18+Datos!AE18-(Datos!U18+Datos!AM18))/(Datos!U18+Datos!AM18))," - ")</f>
        <v>-0.23195876288659795</v>
      </c>
      <c r="G18" s="364">
        <f>IF(ISNUMBER(
   IF(D_I="SI",(Datos!L18-Datos!V18)/Datos!V18,(Datos!L18+Datos!AF18-(Datos!V18+Datos!AN18))/(Datos!V18+Datos!AN18))
     ),IF(D_I="SI",(Datos!L18-Datos!V18)/Datos!V18,(Datos!L18+Datos!AF18-(Datos!V18+Datos!AN18))/(Datos!V18+Datos!AN18))," - ")</f>
        <v>-0.23181818181818181</v>
      </c>
      <c r="H18" s="365">
        <f>IF(ISNUMBER((Datos!M18-Datos!W18)/Datos!W18),(Datos!M18-Datos!W18)/Datos!W18," - ")</f>
        <v>-0.25</v>
      </c>
      <c r="I18" s="366">
        <f>IF(ISNUMBER((Tasas!C18-Datos!BE18)/Datos!BE18),(Tasas!C18-Datos!BE18)/Datos!BE18," - ")</f>
        <v>1.8303843807204834E-4</v>
      </c>
      <c r="J18" s="364">
        <f>IF(ISNUMBER((Tasas!D18-Datos!BF18)/Datos!BF18),(Tasas!D18-Datos!BF18)/Datos!BF18," - ")</f>
        <v>-2.3489932885906086E-2</v>
      </c>
      <c r="K18" s="367">
        <f>IF(ISNUMBER((Tasas!E18-Datos!BG18)/Datos!BG18),(Tasas!E18-Datos!BG18)/Datos!BG18," - ")</f>
        <v>9.7266802840114877E-5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0.10135135135135136</v>
      </c>
      <c r="E19" s="372">
        <f>IF(ISNUMBER(
   IF(J_V="SI",(Datos!J19-Datos!T19)/Datos!T19,(Datos!J19+Datos!Z19-(Datos!T19+Datos!AH19))/(Datos!T19+Datos!AH19))
     ),IF(J_V="SI",(Datos!J19-Datos!T19)/Datos!T19,(Datos!J19+Datos!Z19-(Datos!T19+Datos!AH19))/(Datos!T19+Datos!AH19))," - ")</f>
        <v>-0.27094972067039108</v>
      </c>
      <c r="F19" s="372">
        <f>IF(ISNUMBER(
   IF(J_V="SI",(Datos!K19-Datos!U19)/Datos!U19,(Datos!K19+Datos!AA19-(Datos!U19+Datos!AI19))/(Datos!U19+Datos!AI19))
     ),IF(J_V="SI",(Datos!K19-Datos!U19)/Datos!U19,(Datos!K19+Datos!AA19-(Datos!U19+Datos!AI19))/(Datos!U19+Datos!AI19))," - ")</f>
        <v>-0.18604651162790697</v>
      </c>
      <c r="G19" s="373">
        <f>IF(ISNUMBER(
   IF(J_V="SI",(Datos!L19-Datos!V19)/Datos!V19,(Datos!L19+Datos!AB19-(Datos!V19+Datos!AJ19))/(Datos!V19+Datos!AJ19))
     ),IF(J_V="SI",(Datos!L19-Datos!V19)/Datos!V19,(Datos!L19+Datos!AB19-(Datos!V19+Datos!AJ19))/(Datos!V19+Datos!AJ19))," - ")</f>
        <v>-3.1161473087818695E-2</v>
      </c>
      <c r="H19" s="374">
        <f>IF(ISNUMBER((Datos!M19-Datos!W19)/Datos!W19),(Datos!M19-Datos!W19)/Datos!W19," - ")</f>
        <v>-0.29166666666666669</v>
      </c>
      <c r="I19" s="371">
        <f>IF(ISNUMBER((Tasas!C19-Datos!BE19)/Datos!BE19),(Tasas!C19-Datos!BE19)/Datos!BE19," - ")</f>
        <v>0.19028733306353707</v>
      </c>
      <c r="J19" s="372">
        <f>IF(ISNUMBER((Tasas!D19-Datos!BF19)/Datos!BF19),(Tasas!D19-Datos!BF19)/Datos!BF19," - ")</f>
        <v>-0.21185983827493257</v>
      </c>
      <c r="K19" s="373">
        <f>IF(ISNUMBER((Tasas!E19-Datos!BG19)/Datos!BG19),(Tasas!E19-Datos!BG19)/Datos!BG19," - ")</f>
        <v>0.10270860637833119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0.40422057133263939</v>
      </c>
      <c r="E21" s="282">
        <f t="shared" si="1"/>
        <v>0.36571200330949039</v>
      </c>
      <c r="F21" s="282">
        <f t="shared" si="1"/>
        <v>9.8327095992798375E-2</v>
      </c>
      <c r="G21" s="283">
        <f t="shared" si="1"/>
        <v>0.43961489173391993</v>
      </c>
      <c r="H21" s="289">
        <f t="shared" si="1"/>
        <v>4.6875E-2</v>
      </c>
      <c r="I21" s="281">
        <f t="shared" si="1"/>
        <v>0.56419502786402598</v>
      </c>
      <c r="J21" s="282">
        <f t="shared" si="1"/>
        <v>0.18657545612468307</v>
      </c>
      <c r="K21" s="283">
        <f t="shared" si="1"/>
        <v>0.41128139616435877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FGj68LI+xARNIF0uxcH0qJtwdLzIO4pA/glis2g5hHM+ScAK0N/SGZkx6sRN7LkojS1/broXmGMJyOSrqBgpA==" saltValue="E7Wn01S2eqeNF5ZvCGFQ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